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_rels/drawing2.xml.rels" ContentType="application/vnd.openxmlformats-package.relationship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mpieza aquí" sheetId="1" state="visible" r:id="rId3"/>
    <sheet name="Operaciones" sheetId="2" state="visible" r:id="rId4"/>
    <sheet name="Panel" sheetId="3" state="visible" r:id="rId5"/>
    <sheet name="Riesgo" sheetId="4" state="visible" r:id="rId6"/>
    <sheet name="Calendario" sheetId="5" state="visible" r:id="rId7"/>
    <sheet name="Listas" sheetId="6" state="visible" r:id="rId8"/>
  </sheets>
  <definedNames>
    <definedName function="false" hidden="false" localSheetId="4" name="_xlnm.Print_Area" vbProcedure="false">Calendario!$B$1:$Q$40</definedName>
    <definedName function="false" hidden="false" localSheetId="0" name="_xlnm.Print_Area" vbProcedure="false">'Empieza aquí'!$B$1:$G$50</definedName>
    <definedName function="false" hidden="false" localSheetId="5" name="_xlnm.Print_Area" vbProcedure="false">Listas!$B$1:$J$26</definedName>
    <definedName function="false" hidden="false" localSheetId="1" name="_xlnm.Print_Area" vbProcedure="false">Operaciones!$B$1:$S$504</definedName>
    <definedName function="false" hidden="true" localSheetId="1" name="_xlnm._FilterDatabase" vbProcedure="false">Operaciones!$B$4:$O$504</definedName>
    <definedName function="false" hidden="false" localSheetId="2" name="_xlnm.Print_Area" vbProcedure="false">Panel!$B$1:$S$110</definedName>
    <definedName function="false" hidden="false" localSheetId="3" name="_xlnm.Print_Area" vbProcedure="false">Riesgo!$B$1:$M$32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D8" authorId="0">
      <text>
        <r>
          <rPr>
            <sz val="10"/>
            <rFont val="Arial"/>
            <family val="2"/>
          </rPr>
          <t xml:space="preserve">El capital con el que arrancas. En cuenta fondeada, el saldo de partida que te da la firma.</t>
        </r>
      </text>
    </comment>
    <comment ref="D9" authorId="0">
      <text>
        <r>
          <rPr>
            <sz val="10"/>
            <rFont val="Arial"/>
            <family val="2"/>
          </rPr>
          <t xml:space="preserve">Cuánto puedes perder en un día antes de que te cierren la cuenta. Si tu firma no lo impone, ponte uno tú.</t>
        </r>
      </text>
    </comment>
    <comment ref="D10" authorId="0">
      <text>
        <r>
          <rPr>
            <sz val="10"/>
            <rFont val="Arial"/>
            <family val="2"/>
          </rPr>
          <t xml:space="preserve">Cuánto puedes caer desde tu punto más alto antes de reventar la cuenta.</t>
        </r>
      </text>
    </comment>
    <comment ref="D11" authorId="0">
      <text>
        <r>
          <rPr>
            <sz val="10"/>
            <rFont val="Arial"/>
            <family val="2"/>
          </rPr>
          <t xml:space="preserve">Qué porcentaje del saldo pretendes arriesgar en cada trade. Sirve para comparar lo que planeas con lo que haces.</t>
        </r>
      </text>
    </comment>
  </commentList>
</comments>
</file>

<file path=xl/sharedStrings.xml><?xml version="1.0" encoding="utf-8"?>
<sst xmlns="http://schemas.openxmlformats.org/spreadsheetml/2006/main" count="336" uniqueCount="250">
  <si>
    <t xml:space="preserve">TPS</t>
  </si>
  <si>
    <t xml:space="preserve">Diario de Trading</t>
  </si>
  <si>
    <t xml:space="preserve">Registra tus operaciones. El diario te dice lo que no ves solo mirando el saldo.</t>
  </si>
  <si>
    <t xml:space="preserve">TU CUENTA</t>
  </si>
  <si>
    <t xml:space="preserve">Rellena estas cuatro celdas y no las vuelvas a tocar.</t>
  </si>
  <si>
    <t xml:space="preserve">Saldo inicial</t>
  </si>
  <si>
    <t xml:space="preserve">El capital con el que arrancas. En cuenta fondeada, el saldo de partida que te da la firma.</t>
  </si>
  <si>
    <t xml:space="preserve">Límite de pérdida diaria</t>
  </si>
  <si>
    <t xml:space="preserve">Cuánto puedes perder en un día antes de que te cierren la cuenta. Si tu firma no lo impone, ponte uno tú.</t>
  </si>
  <si>
    <t xml:space="preserve">Drawdown máximo permitido</t>
  </si>
  <si>
    <t xml:space="preserve">Cuánto puedes caer desde tu punto más alto antes de reventar la cuenta.</t>
  </si>
  <si>
    <t xml:space="preserve">Riesgo objetivo por operación</t>
  </si>
  <si>
    <t xml:space="preserve">Qué porcentaje del saldo pretendes arriesgar en cada trade. Sirve para comparar lo que planeas con lo que haces.</t>
  </si>
  <si>
    <t xml:space="preserve">CÓMO SE USA</t>
  </si>
  <si>
    <t xml:space="preserve">1</t>
  </si>
  <si>
    <t xml:space="preserve">Ve a la hoja Operaciones y escribe una fila por cada trade.</t>
  </si>
  <si>
    <t xml:space="preserve">2</t>
  </si>
  <si>
    <t xml:space="preserve">Solo cinco casillas: fecha, instrumento, contratos, los puntos que hiciste y los puntos a los que tenías el stop.</t>
  </si>
  <si>
    <t xml:space="preserve">3</t>
  </si>
  <si>
    <t xml:space="preserve">Las columnas cian salen solas: los dólares, el riesgo y la R múltiple.</t>
  </si>
  <si>
    <t xml:space="preserve">4</t>
  </si>
  <si>
    <t xml:space="preserve">El Panel y el Calendario se actualizan solos. No escribas nada en ellos.</t>
  </si>
  <si>
    <t xml:space="preserve">5</t>
  </si>
  <si>
    <t xml:space="preserve">La hoja Riesgo te dice cuánto te queda hoy antes de tocar tus límites.</t>
  </si>
  <si>
    <t xml:space="preserve">6</t>
  </si>
  <si>
    <t xml:space="preserve">Las grises son opcionales. En HORA va solo el número: 9, 10, 14...</t>
  </si>
  <si>
    <t xml:space="preserve">CÓDIGO DE COLORES</t>
  </si>
  <si>
    <t xml:space="preserve">███</t>
  </si>
  <si>
    <t xml:space="preserve">Ámbar</t>
  </si>
  <si>
    <t xml:space="preserve">Escribes tú.</t>
  </si>
  <si>
    <t xml:space="preserve">Cian</t>
  </si>
  <si>
    <t xml:space="preserve">Se calcula solo. No lo toques.</t>
  </si>
  <si>
    <t xml:space="preserve">Gris</t>
  </si>
  <si>
    <t xml:space="preserve">Notas libres. Escribe lo que quieras.</t>
  </si>
  <si>
    <t xml:space="preserve">EJEMPLO DE UNA FILA</t>
  </si>
  <si>
    <t xml:space="preserve">Así se rellena. Copia el formato, no los números.</t>
  </si>
  <si>
    <t xml:space="preserve">FECHA</t>
  </si>
  <si>
    <t xml:space="preserve">INSTR.</t>
  </si>
  <si>
    <t xml:space="preserve">CONT.</t>
  </si>
  <si>
    <t xml:space="preserve">PUNTOS</t>
  </si>
  <si>
    <t xml:space="preserve">PTS RIESGO</t>
  </si>
  <si>
    <t xml:space="preserve">RESULTADO</t>
  </si>
  <si>
    <t xml:space="preserve">RIESGO</t>
  </si>
  <si>
    <t xml:space="preserve">R</t>
  </si>
  <si>
    <t xml:space="preserve">22/09/2026</t>
  </si>
  <si>
    <t xml:space="preserve">MNQ</t>
  </si>
  <si>
    <t xml:space="preserve">+34.00</t>
  </si>
  <si>
    <t xml:space="preserve">34.00</t>
  </si>
  <si>
    <t xml:space="preserve">$68.00</t>
  </si>
  <si>
    <t xml:space="preserve">1.00 R</t>
  </si>
  <si>
    <t xml:space="preserve">Ganaste 34 puntos en MNQ con 1 contrato y tenías el stop a 34 puntos. Eso son $68 ganados arriesgando $68: una R. Los mismos 34 puntos en NQ habrían sido $680.</t>
  </si>
  <si>
    <t xml:space="preserve">TPS RANGO PRO</t>
  </si>
  <si>
    <t xml:space="preserve">Indicador de rango horario para NinjaTrader 8</t>
  </si>
  <si>
    <t xml:space="preserve">Marca el máximo y el mínimo de tu franja, sella la zona y calcula tu riesgo en dólares antes de entrar.</t>
  </si>
  <si>
    <t xml:space="preserve">Web</t>
  </si>
  <si>
    <t xml:space="preserve">tpsrangopro.com</t>
  </si>
  <si>
    <t xml:space="preserve">Instagram</t>
  </si>
  <si>
    <t xml:space="preserve">@tradinginthehouse1322</t>
  </si>
  <si>
    <t xml:space="preserve">Correo</t>
  </si>
  <si>
    <t xml:space="preserve">tpsrangopro@gmail.com</t>
  </si>
  <si>
    <t xml:space="preserve">Este diario es gratuito. Compártelo con quien quieras.</t>
  </si>
  <si>
    <t xml:space="preserve">Por Carlos Eduardo Briñez Marquez</t>
  </si>
  <si>
    <t xml:space="preserve">Operar futuros implica riesgo de pérdida. Este archivo es una herramienta de registro: no constituye asesoría financiera ni garantiza resultado alguno.</t>
  </si>
  <si>
    <t xml:space="preserve">Registro de operaciones</t>
  </si>
  <si>
    <t xml:space="preserve">ESTO ES LO ÚNICO OBLIGATORIO</t>
  </si>
  <si>
    <t xml:space="preserve">SE CALCULA SOLO</t>
  </si>
  <si>
    <t xml:space="preserve">OPCIONAL — RELLÉNALO SI QUIERES MÁS ANÁLISIS</t>
  </si>
  <si>
    <t xml:space="preserve">INSTRUMENTO</t>
  </si>
  <si>
    <t xml:space="preserve">CONTRATOS</t>
  </si>
  <si>
    <t xml:space="preserve">PUNTOS DE RIESGO</t>
  </si>
  <si>
    <t xml:space="preserve">DÍA</t>
  </si>
  <si>
    <t xml:space="preserve">FRANJA (auto)</t>
  </si>
  <si>
    <t xml:space="preserve">HORA  solo 0-23</t>
  </si>
  <si>
    <t xml:space="preserve">SETUP</t>
  </si>
  <si>
    <t xml:space="preserve">¿SEGUÍ EL PLAN?</t>
  </si>
  <si>
    <t xml:space="preserve">NOTAS</t>
  </si>
  <si>
    <t xml:space="preserve">TPS Rango Pro · tpsrangopro.com · @tradinginthehouse1322</t>
  </si>
  <si>
    <t xml:space="preserve">Diario de trading gratuito por Carlos Eduardo Briñez Marquez</t>
  </si>
  <si>
    <t xml:space="preserve">Panel</t>
  </si>
  <si>
    <t xml:space="preserve">Todo se calcula solo desde la hoja Operaciones. Aquí no se escribe nada.</t>
  </si>
  <si>
    <t xml:space="preserve">Datos de la curva. No borrar.</t>
  </si>
  <si>
    <t xml:space="preserve">fecha</t>
  </si>
  <si>
    <t xml:space="preserve">saldo</t>
  </si>
  <si>
    <t xml:space="preserve">P&amp;L TOTAL</t>
  </si>
  <si>
    <t xml:space="preserve">SALDO ACTUAL</t>
  </si>
  <si>
    <t xml:space="preserve">RENTABILIDAD</t>
  </si>
  <si>
    <t xml:space="preserve">OPERACIONES</t>
  </si>
  <si>
    <t xml:space="preserve">TASA DE ACIERTO</t>
  </si>
  <si>
    <t xml:space="preserve">RENDIMIENTO</t>
  </si>
  <si>
    <t xml:space="preserve">RIESGO Y RACHAS</t>
  </si>
  <si>
    <t xml:space="preserve">DISCIPLINA</t>
  </si>
  <si>
    <t xml:space="preserve">Ganadoras</t>
  </si>
  <si>
    <t xml:space="preserve">Días operados</t>
  </si>
  <si>
    <t xml:space="preserve">Operaciones dentro del plan</t>
  </si>
  <si>
    <t xml:space="preserve">Perdedoras</t>
  </si>
  <si>
    <t xml:space="preserve">Operaciones por día</t>
  </si>
  <si>
    <t xml:space="preserve">P&amp;L siguiendo el plan</t>
  </si>
  <si>
    <t xml:space="preserve">Ganancia media</t>
  </si>
  <si>
    <t xml:space="preserve">Racha perdedora máxima</t>
  </si>
  <si>
    <t xml:space="preserve">P&amp;L fuera del plan</t>
  </si>
  <si>
    <t xml:space="preserve">Pérdida media</t>
  </si>
  <si>
    <t xml:space="preserve">Drawdown máximo</t>
  </si>
  <si>
    <t xml:space="preserve">Acierto dentro del plan</t>
  </si>
  <si>
    <t xml:space="preserve">Factor de beneficio</t>
  </si>
  <si>
    <t xml:space="preserve">Drawdown actual</t>
  </si>
  <si>
    <t xml:space="preserve">Acierto fuera del plan</t>
  </si>
  <si>
    <t xml:space="preserve">Expectativa por operación</t>
  </si>
  <si>
    <t xml:space="preserve">Pico de saldo</t>
  </si>
  <si>
    <t xml:space="preserve">R media</t>
  </si>
  <si>
    <t xml:space="preserve">Mejor operación</t>
  </si>
  <si>
    <t xml:space="preserve">Peor operación</t>
  </si>
  <si>
    <t xml:space="preserve">Si el P&amp;L fuera del plan es positivo, revisa tu plan.</t>
  </si>
  <si>
    <t xml:space="preserve">Si es negativo, ya sabes dónde está tu fuga.</t>
  </si>
  <si>
    <t xml:space="preserve">POR DÍA DE LA SEMANA</t>
  </si>
  <si>
    <t xml:space="preserve">POR FRANJA HORARIA</t>
  </si>
  <si>
    <t xml:space="preserve">POR INSTRUMENTO</t>
  </si>
  <si>
    <t xml:space="preserve">POR SETUP</t>
  </si>
  <si>
    <t xml:space="preserve">CATEGORÍA</t>
  </si>
  <si>
    <t xml:space="preserve">OPS</t>
  </si>
  <si>
    <t xml:space="preserve">P&amp;L</t>
  </si>
  <si>
    <t xml:space="preserve">Lunes</t>
  </si>
  <si>
    <t xml:space="preserve">00:00</t>
  </si>
  <si>
    <t xml:space="preserve">NQ</t>
  </si>
  <si>
    <t xml:space="preserve">Ruptura del rango</t>
  </si>
  <si>
    <t xml:space="preserve">Martes</t>
  </si>
  <si>
    <t xml:space="preserve">01:00</t>
  </si>
  <si>
    <t xml:space="preserve">Falsa ruptura</t>
  </si>
  <si>
    <t xml:space="preserve">Miércoles</t>
  </si>
  <si>
    <t xml:space="preserve">02:00</t>
  </si>
  <si>
    <t xml:space="preserve">ES</t>
  </si>
  <si>
    <t xml:space="preserve">Retest del rango</t>
  </si>
  <si>
    <t xml:space="preserve">Jueves</t>
  </si>
  <si>
    <t xml:space="preserve">03:00</t>
  </si>
  <si>
    <t xml:space="preserve">MES</t>
  </si>
  <si>
    <t xml:space="preserve">Reversión al medio</t>
  </si>
  <si>
    <t xml:space="preserve">Viernes</t>
  </si>
  <si>
    <t xml:space="preserve">04:00</t>
  </si>
  <si>
    <t xml:space="preserve">YM</t>
  </si>
  <si>
    <t xml:space="preserve">Continuación</t>
  </si>
  <si>
    <t xml:space="preserve">05:00</t>
  </si>
  <si>
    <t xml:space="preserve">MYM</t>
  </si>
  <si>
    <t xml:space="preserve">Fuera de plan</t>
  </si>
  <si>
    <t xml:space="preserve">06:00</t>
  </si>
  <si>
    <t xml:space="preserve">RTY</t>
  </si>
  <si>
    <t xml:space="preserve">07:00</t>
  </si>
  <si>
    <t xml:space="preserve">M2K</t>
  </si>
  <si>
    <t xml:space="preserve">08:00</t>
  </si>
  <si>
    <t xml:space="preserve">CL</t>
  </si>
  <si>
    <t xml:space="preserve">09:00</t>
  </si>
  <si>
    <t xml:space="preserve">MCL</t>
  </si>
  <si>
    <t xml:space="preserve">10:00</t>
  </si>
  <si>
    <t xml:space="preserve">GC</t>
  </si>
  <si>
    <t xml:space="preserve">11:00</t>
  </si>
  <si>
    <t xml:space="preserve">MGC</t>
  </si>
  <si>
    <t xml:space="preserve">12:00</t>
  </si>
  <si>
    <t xml:space="preserve">6E</t>
  </si>
  <si>
    <t xml:space="preserve">13:00</t>
  </si>
  <si>
    <t xml:space="preserve">6B</t>
  </si>
  <si>
    <t xml:space="preserve">14:00</t>
  </si>
  <si>
    <t xml:space="preserve">6A</t>
  </si>
  <si>
    <t xml:space="preserve">15:00</t>
  </si>
  <si>
    <t xml:space="preserve">16:00</t>
  </si>
  <si>
    <t xml:space="preserve">17:00</t>
  </si>
  <si>
    <t xml:space="preserve">18:00</t>
  </si>
  <si>
    <t xml:space="preserve">19:00</t>
  </si>
  <si>
    <t xml:space="preserve">20:00</t>
  </si>
  <si>
    <t xml:space="preserve">21:00</t>
  </si>
  <si>
    <t xml:space="preserve">22:00</t>
  </si>
  <si>
    <t xml:space="preserve">23:00</t>
  </si>
  <si>
    <t xml:space="preserve">Riesgo</t>
  </si>
  <si>
    <t xml:space="preserve">Cuánto te queda antes de tocar tus límites. Míralo antes de operar, no después.</t>
  </si>
  <si>
    <t xml:space="preserve">HOY</t>
  </si>
  <si>
    <t xml:space="preserve">LA CUENTA</t>
  </si>
  <si>
    <t xml:space="preserve">Fecha</t>
  </si>
  <si>
    <t xml:space="preserve">Saldo actual</t>
  </si>
  <si>
    <t xml:space="preserve">Operaciones de hoy</t>
  </si>
  <si>
    <t xml:space="preserve">P&amp;L de hoy</t>
  </si>
  <si>
    <t xml:space="preserve">Te queda hoy</t>
  </si>
  <si>
    <t xml:space="preserve">Margen que te queda</t>
  </si>
  <si>
    <t xml:space="preserve">Consumido del límite</t>
  </si>
  <si>
    <t xml:space="preserve">Consumido del drawdown</t>
  </si>
  <si>
    <t xml:space="preserve">Estado</t>
  </si>
  <si>
    <t xml:space="preserve">Drawdown máximo histórico</t>
  </si>
  <si>
    <t xml:space="preserve">ÚLTIMOS 10 DÍAS</t>
  </si>
  <si>
    <t xml:space="preserve">% DEL LÍMITE</t>
  </si>
  <si>
    <t xml:space="preserve">Los límites se editan en la hoja «Empieza aquí». Si tu firma usa drawdown dinámico (trailing), este panel te da el estático — el peor caso siempre es más prudente que el mejor.</t>
  </si>
  <si>
    <t xml:space="preserve">Calendario</t>
  </si>
  <si>
    <t xml:space="preserve">Elige mes y año. El calendario se reordena solo.</t>
  </si>
  <si>
    <t xml:space="preserve">AÑO</t>
  </si>
  <si>
    <t xml:space="preserve">Septiembre</t>
  </si>
  <si>
    <t xml:space="preserve">EL AÑO COMPLETO</t>
  </si>
  <si>
    <t xml:space="preserve">Cambia el año arriba y esta tabla te sigue.</t>
  </si>
  <si>
    <t xml:space="preserve">DOM</t>
  </si>
  <si>
    <t xml:space="preserve">LUN</t>
  </si>
  <si>
    <t xml:space="preserve">MAR</t>
  </si>
  <si>
    <t xml:space="preserve">MIÉ</t>
  </si>
  <si>
    <t xml:space="preserve">JUE</t>
  </si>
  <si>
    <t xml:space="preserve">VIE</t>
  </si>
  <si>
    <t xml:space="preserve">SÁB</t>
  </si>
  <si>
    <t xml:space="preserve">GANAN</t>
  </si>
  <si>
    <t xml:space="preserve">PIERD</t>
  </si>
  <si>
    <t xml:space="preserve">ACUMULADO</t>
  </si>
  <si>
    <t xml:space="preserve">Semana 1</t>
  </si>
  <si>
    <t xml:space="preserve">Enero</t>
  </si>
  <si>
    <t xml:space="preserve">Febrero</t>
  </si>
  <si>
    <t xml:space="preserve">Marzo</t>
  </si>
  <si>
    <t xml:space="preserve">Semana 2</t>
  </si>
  <si>
    <t xml:space="preserve">Abril</t>
  </si>
  <si>
    <t xml:space="preserve">Mayo</t>
  </si>
  <si>
    <t xml:space="preserve">Junio</t>
  </si>
  <si>
    <t xml:space="preserve">Semana 3</t>
  </si>
  <si>
    <t xml:space="preserve">Julio</t>
  </si>
  <si>
    <t xml:space="preserve">Agosto</t>
  </si>
  <si>
    <t xml:space="preserve">Semana 4</t>
  </si>
  <si>
    <t xml:space="preserve">Octubre</t>
  </si>
  <si>
    <t xml:space="preserve">Noviembre</t>
  </si>
  <si>
    <t xml:space="preserve">Diciembre</t>
  </si>
  <si>
    <t xml:space="preserve">Semana 5</t>
  </si>
  <si>
    <t xml:space="preserve">acierto</t>
  </si>
  <si>
    <t xml:space="preserve">TOTAL AÑO</t>
  </si>
  <si>
    <t xml:space="preserve">Semana 6</t>
  </si>
  <si>
    <t xml:space="preserve">La última columna del total es tu tasa de acierto del año.</t>
  </si>
  <si>
    <t xml:space="preserve">RESUMEN DEL MES</t>
  </si>
  <si>
    <t xml:space="preserve">P&amp;L del mes</t>
  </si>
  <si>
    <t xml:space="preserve">Días positivos</t>
  </si>
  <si>
    <t xml:space="preserve">Días negativos</t>
  </si>
  <si>
    <t xml:space="preserve">Mejor día</t>
  </si>
  <si>
    <t xml:space="preserve">Peor día</t>
  </si>
  <si>
    <t xml:space="preserve">Este calendario solo lee. Para registrar operaciones, ve a la hoja Operaciones.</t>
  </si>
  <si>
    <t xml:space="preserve">Listas y valores</t>
  </si>
  <si>
    <t xml:space="preserve">Amplía estas listas si operas otros instrumentos o usas otros setups.</t>
  </si>
  <si>
    <t xml:space="preserve">VALOR DEL PUNTO</t>
  </si>
  <si>
    <t xml:space="preserve">COMISIÓN R/T</t>
  </si>
  <si>
    <t xml:space="preserve">DIRECCIÓN</t>
  </si>
  <si>
    <t xml:space="preserve">SÍ / NO</t>
  </si>
  <si>
    <t xml:space="preserve">DÍAS</t>
  </si>
  <si>
    <t xml:space="preserve">MESES</t>
  </si>
  <si>
    <t xml:space="preserve">Largo</t>
  </si>
  <si>
    <t xml:space="preserve">Sí</t>
  </si>
  <si>
    <t xml:space="preserve">Domingo</t>
  </si>
  <si>
    <t xml:space="preserve">Rango apertura NY</t>
  </si>
  <si>
    <t xml:space="preserve">Corto</t>
  </si>
  <si>
    <t xml:space="preserve">No</t>
  </si>
  <si>
    <t xml:space="preserve">Rango Londres</t>
  </si>
  <si>
    <t xml:space="preserve">Rango Asia</t>
  </si>
  <si>
    <t xml:space="preserve">Sábado</t>
  </si>
  <si>
    <t xml:space="preserve">El valor del punto es cuánto vale 1 punto completo con 1 contrato.</t>
  </si>
  <si>
    <t xml:space="preserve">Ejemplo: NQ = $20 por punto. 10 puntos con 2 contratos = $400.</t>
  </si>
  <si>
    <t xml:space="preserve">COMISIÓN R/T = lo que te cobra tu bróker por abrir y cerrar 1 contrato.</t>
  </si>
  <si>
    <t xml:space="preserve">Búscalo en tu bróker y escríbelo aquí. Si lo dejas en 0, el diario ignora las comisiones.</t>
  </si>
</sst>
</file>

<file path=xl/styles.xml><?xml version="1.0" encoding="utf-8"?>
<styleSheet xmlns="http://schemas.openxmlformats.org/spreadsheetml/2006/main">
  <numFmts count="21">
    <numFmt numFmtId="164" formatCode="General"/>
    <numFmt numFmtId="165" formatCode="\$#,##0;&quot;-$&quot;#,##0;\—"/>
    <numFmt numFmtId="166" formatCode="0.0%"/>
    <numFmt numFmtId="167" formatCode="dd/mm/yyyy"/>
    <numFmt numFmtId="168" formatCode="\+#,##0.00;\-#,##0.00;0"/>
    <numFmt numFmtId="169" formatCode="#,##0.00"/>
    <numFmt numFmtId="170" formatCode="\$#,##0.00;&quot;-$&quot;#,##0.00;\—"/>
    <numFmt numFmtId="171" formatCode="0.00&quot; R&quot;;\-0.00&quot; R&quot;;\—"/>
    <numFmt numFmtId="172" formatCode="0"/>
    <numFmt numFmtId="173" formatCode="dd/mm"/>
    <numFmt numFmtId="174" formatCode="0.0%;\-0.0%;\—"/>
    <numFmt numFmtId="175" formatCode="#,##0"/>
    <numFmt numFmtId="176" formatCode="0.0"/>
    <numFmt numFmtId="177" formatCode="0.00;\-0.00;\—"/>
    <numFmt numFmtId="178" formatCode="#,##0;;\—"/>
    <numFmt numFmtId="179" formatCode="\$#,##0"/>
    <numFmt numFmtId="180" formatCode="@"/>
    <numFmt numFmtId="181" formatCode="ddd\ dd/mm/yyyy"/>
    <numFmt numFmtId="182" formatCode="mm/dd/yy"/>
    <numFmt numFmtId="183" formatCode="#,##0.##"/>
    <numFmt numFmtId="184" formatCode="\$#,##0.00"/>
  </numFmts>
  <fonts count="5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E8EEF8"/>
      <name val="Arial"/>
      <family val="0"/>
      <charset val="1"/>
    </font>
    <font>
      <b val="true"/>
      <sz val="20"/>
      <color rgb="FF00E5FF"/>
      <name val="Arial"/>
      <family val="0"/>
      <charset val="1"/>
    </font>
    <font>
      <b val="true"/>
      <sz val="20"/>
      <color rgb="FFE8EEF8"/>
      <name val="Arial"/>
      <family val="0"/>
      <charset val="1"/>
    </font>
    <font>
      <sz val="10"/>
      <color rgb="FF5D6B80"/>
      <name val="Arial"/>
      <family val="0"/>
      <charset val="1"/>
    </font>
    <font>
      <b val="true"/>
      <sz val="11"/>
      <color rgb="FF00E5FF"/>
      <name val="Arial"/>
      <family val="0"/>
      <charset val="1"/>
    </font>
    <font>
      <sz val="9"/>
      <color rgb="FF5D6B80"/>
      <name val="Arial"/>
      <family val="0"/>
      <charset val="1"/>
    </font>
    <font>
      <sz val="11"/>
      <color rgb="FFE8EEF8"/>
      <name val="Arial"/>
      <family val="0"/>
      <charset val="1"/>
    </font>
    <font>
      <b val="true"/>
      <sz val="12"/>
      <color rgb="FFFFB547"/>
      <name val="Arial"/>
      <family val="0"/>
      <charset val="1"/>
    </font>
    <font>
      <b val="true"/>
      <sz val="11"/>
      <color rgb="FFFFB547"/>
      <name val="Arial"/>
      <family val="0"/>
      <charset val="1"/>
    </font>
    <font>
      <b val="true"/>
      <sz val="10"/>
      <color rgb="FFE8EEF8"/>
      <name val="Arial"/>
      <family val="0"/>
      <charset val="1"/>
    </font>
    <font>
      <sz val="10"/>
      <color rgb="FF8A99B0"/>
      <name val="Arial"/>
      <family val="0"/>
      <charset val="1"/>
    </font>
    <font>
      <b val="true"/>
      <sz val="11"/>
      <color rgb="FF5D6B80"/>
      <name val="Arial"/>
      <family val="0"/>
      <charset val="1"/>
    </font>
    <font>
      <b val="true"/>
      <sz val="8"/>
      <color rgb="FFFFB547"/>
      <name val="Arial"/>
      <family val="0"/>
      <charset val="1"/>
    </font>
    <font>
      <b val="true"/>
      <sz val="8"/>
      <color rgb="FF00E5FF"/>
      <name val="Arial"/>
      <family val="0"/>
      <charset val="1"/>
    </font>
    <font>
      <sz val="9"/>
      <color rgb="FFE8EEF8"/>
      <name val="Arial"/>
      <family val="0"/>
      <charset val="1"/>
    </font>
    <font>
      <sz val="9"/>
      <color rgb="FF8A99B0"/>
      <name val="Arial"/>
      <family val="0"/>
      <charset val="1"/>
    </font>
    <font>
      <b val="true"/>
      <sz val="13"/>
      <color rgb="FF00E5FF"/>
      <name val="Arial"/>
      <family val="0"/>
      <charset val="1"/>
    </font>
    <font>
      <sz val="9.5"/>
      <color rgb="FF5D6B80"/>
      <name val="Arial"/>
      <family val="0"/>
      <charset val="1"/>
    </font>
    <font>
      <sz val="8"/>
      <color rgb="FF5D6B80"/>
      <name val="Arial"/>
      <family val="0"/>
      <charset val="1"/>
    </font>
    <font>
      <b val="true"/>
      <sz val="9"/>
      <color rgb="FF5D6B80"/>
      <name val="Arial"/>
      <family val="0"/>
      <charset val="1"/>
    </font>
    <font>
      <b val="true"/>
      <sz val="9.5"/>
      <color rgb="FFFFB547"/>
      <name val="Arial"/>
      <family val="0"/>
      <charset val="1"/>
    </font>
    <font>
      <sz val="10"/>
      <name val="Arial"/>
      <family val="2"/>
    </font>
    <font>
      <b val="true"/>
      <sz val="9"/>
      <color rgb="FFFFB547"/>
      <name val="Arial"/>
      <family val="0"/>
      <charset val="1"/>
    </font>
    <font>
      <b val="true"/>
      <sz val="9"/>
      <color rgb="FF00E5FF"/>
      <name val="Arial"/>
      <family val="0"/>
      <charset val="1"/>
    </font>
    <font>
      <b val="true"/>
      <sz val="18"/>
      <color rgb="FF00E5FF"/>
      <name val="Arial"/>
      <family val="0"/>
      <charset val="1"/>
    </font>
    <font>
      <b val="true"/>
      <sz val="18"/>
      <color rgb="FFE8EEF8"/>
      <name val="Arial"/>
      <family val="0"/>
      <charset val="1"/>
    </font>
    <font>
      <b val="true"/>
      <sz val="18"/>
      <color rgb="FF3DDC97"/>
      <name val="Arial"/>
      <family val="0"/>
      <charset val="1"/>
    </font>
    <font>
      <b val="true"/>
      <sz val="18"/>
      <color rgb="FFFFB547"/>
      <name val="Arial"/>
      <family val="0"/>
      <charset val="1"/>
    </font>
    <font>
      <b val="true"/>
      <sz val="11"/>
      <color rgb="FFE8EEF8"/>
      <name val="Arial"/>
      <family val="0"/>
      <charset val="1"/>
    </font>
    <font>
      <b val="true"/>
      <sz val="11.5"/>
      <color rgb="FF12161F"/>
      <name val="Arial"/>
      <family val="2"/>
    </font>
    <font>
      <sz val="9"/>
      <color rgb="FF5D6B80"/>
      <name val="Arial"/>
      <family val="2"/>
    </font>
    <font>
      <b val="true"/>
      <sz val="12"/>
      <color rgb="FF00E5FF"/>
      <name val="Arial"/>
      <family val="0"/>
      <charset val="1"/>
    </font>
    <font>
      <b val="true"/>
      <sz val="16"/>
      <color rgb="FFE8EEF8"/>
      <name val="Arial"/>
      <family val="0"/>
      <charset val="1"/>
    </font>
    <font>
      <b val="true"/>
      <sz val="11"/>
      <color rgb="FF8A99B0"/>
      <name val="Arial"/>
      <family val="0"/>
      <charset val="1"/>
    </font>
    <font>
      <b val="true"/>
      <sz val="16"/>
      <color rgb="FFFF2D87"/>
      <name val="Arial"/>
      <family val="0"/>
      <charset val="1"/>
    </font>
    <font>
      <b val="true"/>
      <sz val="16"/>
      <color rgb="FF3DDC97"/>
      <name val="Arial"/>
      <family val="0"/>
      <charset val="1"/>
    </font>
    <font>
      <b val="true"/>
      <sz val="13"/>
      <color rgb="FFFFB547"/>
      <name val="Arial"/>
      <family val="0"/>
      <charset val="1"/>
    </font>
    <font>
      <b val="true"/>
      <sz val="11"/>
      <color rgb="FFFF2D87"/>
      <name val="Arial"/>
      <family val="0"/>
      <charset val="1"/>
    </font>
    <font>
      <b val="true"/>
      <sz val="10"/>
      <color rgb="FF5D6B80"/>
      <name val="Arial"/>
      <family val="0"/>
      <charset val="1"/>
    </font>
    <font>
      <b val="true"/>
      <sz val="13"/>
      <color rgb="FFE8EEF8"/>
      <name val="Arial"/>
      <family val="0"/>
      <charset val="1"/>
    </font>
    <font>
      <b val="true"/>
      <sz val="12"/>
      <color rgb="FFE8EEF8"/>
      <name val="Arial"/>
      <family val="0"/>
      <charset val="1"/>
    </font>
    <font>
      <b val="true"/>
      <sz val="12"/>
      <color rgb="FF3DDC97"/>
      <name val="Arial"/>
      <family val="0"/>
      <charset val="1"/>
    </font>
    <font>
      <b val="true"/>
      <sz val="12"/>
      <color rgb="FFFF2D87"/>
      <name val="Arial"/>
      <family val="0"/>
      <charset val="1"/>
    </font>
    <font>
      <b val="true"/>
      <sz val="12"/>
      <color rgb="FF8A99B0"/>
      <name val="Arial"/>
      <family val="0"/>
      <charset val="1"/>
    </font>
    <font>
      <sz val="10"/>
      <color rgb="FF00E5FF"/>
      <name val="Arial"/>
      <family val="0"/>
      <charset val="1"/>
    </font>
    <font>
      <b val="true"/>
      <sz val="10"/>
      <color rgb="FFFFB547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0B0E14"/>
        <bgColor rgb="FF12161F"/>
      </patternFill>
    </fill>
    <fill>
      <patternFill patternType="solid">
        <fgColor rgb="FF141A24"/>
        <bgColor rgb="FF12161F"/>
      </patternFill>
    </fill>
    <fill>
      <patternFill patternType="solid">
        <fgColor rgb="FF1E2A3A"/>
        <bgColor rgb="FF242D3D"/>
      </patternFill>
    </fill>
    <fill>
      <patternFill patternType="solid">
        <fgColor rgb="FF1B2230"/>
        <bgColor rgb="FF1E2A3A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242D3D"/>
      </left>
      <right style="thin">
        <color rgb="FF242D3D"/>
      </right>
      <top style="thin">
        <color rgb="FF242D3D"/>
      </top>
      <bottom style="thin">
        <color rgb="FF242D3D"/>
      </bottom>
      <diagonal/>
    </border>
    <border diagonalUp="false" diagonalDown="false">
      <left/>
      <right/>
      <top style="thin">
        <color rgb="FF242D3D"/>
      </top>
      <bottom/>
      <diagonal/>
    </border>
    <border diagonalUp="false" diagonalDown="false">
      <left style="thin">
        <color rgb="FF242D3D"/>
      </left>
      <right style="thin">
        <color rgb="FF242D3D"/>
      </right>
      <top style="thin">
        <color rgb="FF242D3D"/>
      </top>
      <bottom/>
      <diagonal/>
    </border>
    <border diagonalUp="false" diagonalDown="false">
      <left style="thin">
        <color rgb="FF242D3D"/>
      </left>
      <right style="thin">
        <color rgb="FF242D3D"/>
      </right>
      <top/>
      <bottom/>
      <diagonal/>
    </border>
    <border diagonalUp="false" diagonalDown="false">
      <left style="thin">
        <color rgb="FF242D3D"/>
      </left>
      <right style="thin">
        <color rgb="FF242D3D"/>
      </right>
      <top/>
      <bottom style="thin">
        <color rgb="FF242D3D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5" fontId="11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1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2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3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4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2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7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3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3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3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4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1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9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27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3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3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2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0" fillId="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3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2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1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1" xfId="0" applyFont="true" applyBorder="true" applyAlignment="true" applyProtection="false">
      <alignment horizontal="general" vertical="bottom" textRotation="0" wrapText="false" indent="1" shrinkToFit="false"/>
      <protection locked="true" hidden="false"/>
    </xf>
    <xf numFmtId="175" fontId="3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3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3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3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3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3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3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bottom" textRotation="0" wrapText="false" indent="1" shrinkToFit="false"/>
      <protection locked="true" hidden="false"/>
    </xf>
    <xf numFmtId="178" fontId="1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5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4" fillId="3" borderId="1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7" fontId="3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3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4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0" fontId="41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1" fontId="4" fillId="3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78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82" fontId="22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3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4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2" fillId="3" borderId="3" xfId="0" applyFont="true" applyBorder="true" applyAlignment="true" applyProtection="false">
      <alignment horizontal="right" vertical="bottom" textRotation="0" wrapText="false" indent="1" shrinkToFit="false"/>
      <protection locked="true" hidden="false"/>
    </xf>
    <xf numFmtId="164" fontId="23" fillId="5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3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3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5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2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5" borderId="1" xfId="0" applyFont="true" applyBorder="true" applyAlignment="true" applyProtection="false">
      <alignment horizontal="general" vertical="bottom" textRotation="0" wrapText="false" indent="1" shrinkToFit="false"/>
      <protection locked="true" hidden="false"/>
    </xf>
    <xf numFmtId="178" fontId="32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32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32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4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4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4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83" fontId="4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84" fontId="4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2">
    <dxf>
      <fill>
        <patternFill patternType="solid">
          <fgColor rgb="FF0B0E14"/>
          <bgColor rgb="FF000000"/>
        </patternFill>
      </fill>
    </dxf>
    <dxf>
      <fill>
        <patternFill patternType="solid">
          <fgColor rgb="FF1B2230"/>
          <bgColor rgb="FF000000"/>
        </patternFill>
      </fill>
    </dxf>
    <dxf>
      <fill>
        <patternFill patternType="solid">
          <fgColor rgb="FF1E2A3A"/>
          <bgColor rgb="FF000000"/>
        </patternFill>
      </fill>
    </dxf>
    <dxf>
      <fill>
        <patternFill patternType="solid">
          <fgColor rgb="FFE8EEF8"/>
          <bgColor rgb="FF000000"/>
        </patternFill>
      </fill>
    </dxf>
    <dxf>
      <fill>
        <patternFill patternType="solid">
          <fgColor rgb="FFFFB547"/>
          <bgColor rgb="FF000000"/>
        </patternFill>
      </fill>
    </dxf>
    <dxf>
      <fill>
        <patternFill patternType="solid">
          <fgColor rgb="FF141A24"/>
          <bgColor rgb="FF000000"/>
        </patternFill>
      </fill>
    </dxf>
    <dxf>
      <fill>
        <patternFill patternType="solid">
          <fgColor rgb="FF00E5FF"/>
          <bgColor rgb="FF000000"/>
        </patternFill>
      </fill>
    </dxf>
    <dxf>
      <fill>
        <patternFill patternType="solid">
          <fgColor rgb="FF5D6B80"/>
          <bgColor rgb="FF000000"/>
        </patternFill>
      </fill>
    </dxf>
    <dxf>
      <fill>
        <patternFill patternType="solid">
          <fgColor rgb="FF8A99B0"/>
          <bgColor rgb="FF000000"/>
        </patternFill>
      </fill>
    </dxf>
    <dxf>
      <font>
        <name val="Arial"/>
        <charset val="1"/>
        <family val="0"/>
        <b val="1"/>
        <color rgb="FF3DDC97"/>
      </font>
    </dxf>
    <dxf>
      <font>
        <name val="Arial"/>
        <charset val="1"/>
        <family val="0"/>
        <b val="1"/>
        <color rgb="FFFF2D87"/>
      </font>
    </dxf>
    <dxf>
      <font>
        <name val="Arial"/>
        <charset val="1"/>
        <family val="0"/>
        <b val="1"/>
        <color rgb="FFFFB547"/>
      </font>
    </dxf>
  </dxfs>
  <colors>
    <indexedColors>
      <rgbColor rgb="FF000000"/>
      <rgbColor rgb="FFE8EEF8"/>
      <rgbColor rgb="FFFF0000"/>
      <rgbColor rgb="FF00FF00"/>
      <rgbColor rgb="FF0000FF"/>
      <rgbColor rgb="FFFFFF00"/>
      <rgbColor rgb="FFFF2D87"/>
      <rgbColor rgb="FF00FFFF"/>
      <rgbColor rgb="FF800000"/>
      <rgbColor rgb="FF008000"/>
      <rgbColor rgb="FF12161F"/>
      <rgbColor rgb="FF808000"/>
      <rgbColor rgb="FF800080"/>
      <rgbColor rgb="FF008080"/>
      <rgbColor rgb="FFD9D9D9"/>
      <rgbColor rgb="FF808080"/>
      <rgbColor rgb="FF9999FF"/>
      <rgbColor rgb="FF993366"/>
      <rgbColor rgb="FFFFFFCC"/>
      <rgbColor rgb="FFE4E9F0"/>
      <rgbColor rgb="FF660066"/>
      <rgbColor rgb="FFFF8080"/>
      <rgbColor rgb="FF0066CC"/>
      <rgbColor rgb="FFC9D2DE"/>
      <rgbColor rgb="FF0B0E14"/>
      <rgbColor rgb="FFFF00FF"/>
      <rgbColor rgb="FFFFFF00"/>
      <rgbColor rgb="FF00FFFF"/>
      <rgbColor rgb="FF800080"/>
      <rgbColor rgb="FF800000"/>
      <rgbColor rgb="FF008080"/>
      <rgbColor rgb="FF0000FF"/>
      <rgbColor rgb="FF00E5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DDC97"/>
      <rgbColor rgb="FF99CC00"/>
      <rgbColor rgb="FFFFB547"/>
      <rgbColor rgb="FFFF9900"/>
      <rgbColor rgb="FFFF6600"/>
      <rgbColor rgb="FF5D6B80"/>
      <rgbColor rgb="FF8A99B0"/>
      <rgbColor rgb="FF1E2A3A"/>
      <rgbColor rgb="FF339966"/>
      <rgbColor rgb="FF141A24"/>
      <rgbColor rgb="FF1B2230"/>
      <rgbColor rgb="FF993300"/>
      <rgbColor rgb="FF993366"/>
      <rgbColor rgb="FF333399"/>
      <rgbColor rgb="FF242D3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150" spc="-1" strike="noStrike">
                <a:solidFill>
                  <a:srgbClr val="12161f"/>
                </a:solidFill>
                <a:latin typeface="Arial"/>
              </a:defRPr>
            </a:pPr>
            <a:r>
              <a:rPr b="1" sz="1150" spc="-1" strike="noStrike">
                <a:solidFill>
                  <a:srgbClr val="12161f"/>
                </a:solidFill>
                <a:latin typeface="Arial"/>
              </a:rPr>
              <a:t>Curva de capital — últimos 60 días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spPr>
            <a:solidFill>
              <a:srgbClr val="00e5ff"/>
            </a:solidFill>
            <a:ln w="28080">
              <a:solidFill>
                <a:srgbClr val="00e5ff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Panel!$AB$5:$AB$64</c:f>
              <c:strCache>
                <c:ptCount val="60"/>
                <c:pt idx="0">
                  <c:v>27/07</c:v>
                </c:pt>
                <c:pt idx="1">
                  <c:v>28/07</c:v>
                </c:pt>
                <c:pt idx="2">
                  <c:v>29/07</c:v>
                </c:pt>
                <c:pt idx="3">
                  <c:v>30/07</c:v>
                </c:pt>
                <c:pt idx="4">
                  <c:v>31/07</c:v>
                </c:pt>
                <c:pt idx="5">
                  <c:v>01/08</c:v>
                </c:pt>
                <c:pt idx="6">
                  <c:v>02/08</c:v>
                </c:pt>
                <c:pt idx="7">
                  <c:v>03/08</c:v>
                </c:pt>
                <c:pt idx="8">
                  <c:v>04/08</c:v>
                </c:pt>
                <c:pt idx="9">
                  <c:v>05/08</c:v>
                </c:pt>
                <c:pt idx="10">
                  <c:v>06/08</c:v>
                </c:pt>
                <c:pt idx="11">
                  <c:v>07/08</c:v>
                </c:pt>
                <c:pt idx="12">
                  <c:v>08/08</c:v>
                </c:pt>
                <c:pt idx="13">
                  <c:v>09/08</c:v>
                </c:pt>
                <c:pt idx="14">
                  <c:v>10/08</c:v>
                </c:pt>
                <c:pt idx="15">
                  <c:v>11/08</c:v>
                </c:pt>
                <c:pt idx="16">
                  <c:v>12/08</c:v>
                </c:pt>
                <c:pt idx="17">
                  <c:v>13/08</c:v>
                </c:pt>
                <c:pt idx="18">
                  <c:v>14/08</c:v>
                </c:pt>
                <c:pt idx="19">
                  <c:v>15/08</c:v>
                </c:pt>
                <c:pt idx="20">
                  <c:v>16/08</c:v>
                </c:pt>
                <c:pt idx="21">
                  <c:v>17/08</c:v>
                </c:pt>
                <c:pt idx="22">
                  <c:v>18/08</c:v>
                </c:pt>
                <c:pt idx="23">
                  <c:v>19/08</c:v>
                </c:pt>
                <c:pt idx="24">
                  <c:v>20/08</c:v>
                </c:pt>
                <c:pt idx="25">
                  <c:v>21/08</c:v>
                </c:pt>
                <c:pt idx="26">
                  <c:v>22/08</c:v>
                </c:pt>
                <c:pt idx="27">
                  <c:v>23/08</c:v>
                </c:pt>
                <c:pt idx="28">
                  <c:v>24/08</c:v>
                </c:pt>
                <c:pt idx="29">
                  <c:v>25/08</c:v>
                </c:pt>
                <c:pt idx="30">
                  <c:v>26/08</c:v>
                </c:pt>
                <c:pt idx="31">
                  <c:v>27/08</c:v>
                </c:pt>
                <c:pt idx="32">
                  <c:v>28/08</c:v>
                </c:pt>
                <c:pt idx="33">
                  <c:v>29/08</c:v>
                </c:pt>
                <c:pt idx="34">
                  <c:v>30/08</c:v>
                </c:pt>
                <c:pt idx="35">
                  <c:v>31/08</c:v>
                </c:pt>
                <c:pt idx="36">
                  <c:v>01/09</c:v>
                </c:pt>
                <c:pt idx="37">
                  <c:v>02/09</c:v>
                </c:pt>
                <c:pt idx="38">
                  <c:v>03/09</c:v>
                </c:pt>
                <c:pt idx="39">
                  <c:v>04/09</c:v>
                </c:pt>
                <c:pt idx="40">
                  <c:v>05/09</c:v>
                </c:pt>
                <c:pt idx="41">
                  <c:v>06/09</c:v>
                </c:pt>
                <c:pt idx="42">
                  <c:v>07/09</c:v>
                </c:pt>
                <c:pt idx="43">
                  <c:v>08/09</c:v>
                </c:pt>
                <c:pt idx="44">
                  <c:v>09/09</c:v>
                </c:pt>
                <c:pt idx="45">
                  <c:v>10/09</c:v>
                </c:pt>
                <c:pt idx="46">
                  <c:v>11/09</c:v>
                </c:pt>
                <c:pt idx="47">
                  <c:v>12/09</c:v>
                </c:pt>
                <c:pt idx="48">
                  <c:v>13/09</c:v>
                </c:pt>
                <c:pt idx="49">
                  <c:v>14/09</c:v>
                </c:pt>
                <c:pt idx="50">
                  <c:v>15/09</c:v>
                </c:pt>
                <c:pt idx="51">
                  <c:v>16/09</c:v>
                </c:pt>
                <c:pt idx="52">
                  <c:v>17/09</c:v>
                </c:pt>
                <c:pt idx="53">
                  <c:v>18/09</c:v>
                </c:pt>
                <c:pt idx="54">
                  <c:v>19/09</c:v>
                </c:pt>
                <c:pt idx="55">
                  <c:v>20/09</c:v>
                </c:pt>
                <c:pt idx="56">
                  <c:v>21/09</c:v>
                </c:pt>
                <c:pt idx="57">
                  <c:v>22/09</c:v>
                </c:pt>
                <c:pt idx="58">
                  <c:v>23/09</c:v>
                </c:pt>
                <c:pt idx="59">
                  <c:v>24/09</c:v>
                </c:pt>
              </c:strCache>
            </c:strRef>
          </c:cat>
          <c:val>
            <c:numRef>
              <c:f>Panel!$AC$5:$AC$64</c:f>
              <c:numCache>
                <c:formatCode>\$#,##0;"-$"#,##0;\—</c:formatCode>
                <c:ptCount val="60"/>
                <c:pt idx="0">
                  <c:v>50000</c:v>
                </c:pt>
                <c:pt idx="1">
                  <c:v>50000</c:v>
                </c:pt>
                <c:pt idx="2">
                  <c:v>50000</c:v>
                </c:pt>
                <c:pt idx="3">
                  <c:v>50000</c:v>
                </c:pt>
                <c:pt idx="4">
                  <c:v>50000</c:v>
                </c:pt>
                <c:pt idx="5">
                  <c:v>50000</c:v>
                </c:pt>
                <c:pt idx="6">
                  <c:v>50000</c:v>
                </c:pt>
                <c:pt idx="7">
                  <c:v>50000</c:v>
                </c:pt>
                <c:pt idx="8">
                  <c:v>50000</c:v>
                </c:pt>
                <c:pt idx="9">
                  <c:v>50000</c:v>
                </c:pt>
                <c:pt idx="10">
                  <c:v>50000</c:v>
                </c:pt>
                <c:pt idx="11">
                  <c:v>50000</c:v>
                </c:pt>
                <c:pt idx="12">
                  <c:v>50000</c:v>
                </c:pt>
                <c:pt idx="13">
                  <c:v>50000</c:v>
                </c:pt>
                <c:pt idx="14">
                  <c:v>50000</c:v>
                </c:pt>
                <c:pt idx="15">
                  <c:v>50000</c:v>
                </c:pt>
                <c:pt idx="16">
                  <c:v>50000</c:v>
                </c:pt>
                <c:pt idx="17">
                  <c:v>50000</c:v>
                </c:pt>
                <c:pt idx="18">
                  <c:v>50000</c:v>
                </c:pt>
                <c:pt idx="19">
                  <c:v>50000</c:v>
                </c:pt>
                <c:pt idx="20">
                  <c:v>50000</c:v>
                </c:pt>
                <c:pt idx="21">
                  <c:v>50000</c:v>
                </c:pt>
                <c:pt idx="22">
                  <c:v>50000</c:v>
                </c:pt>
                <c:pt idx="23">
                  <c:v>50000</c:v>
                </c:pt>
                <c:pt idx="24">
                  <c:v>50000</c:v>
                </c:pt>
                <c:pt idx="25">
                  <c:v>50000</c:v>
                </c:pt>
                <c:pt idx="26">
                  <c:v>50000</c:v>
                </c:pt>
                <c:pt idx="27">
                  <c:v>50000</c:v>
                </c:pt>
                <c:pt idx="28">
                  <c:v>50000</c:v>
                </c:pt>
                <c:pt idx="29">
                  <c:v>50000</c:v>
                </c:pt>
                <c:pt idx="30">
                  <c:v>50000</c:v>
                </c:pt>
                <c:pt idx="31">
                  <c:v>50000</c:v>
                </c:pt>
                <c:pt idx="32">
                  <c:v>50000</c:v>
                </c:pt>
                <c:pt idx="33">
                  <c:v>50000</c:v>
                </c:pt>
                <c:pt idx="34">
                  <c:v>50000</c:v>
                </c:pt>
                <c:pt idx="35">
                  <c:v>50000</c:v>
                </c:pt>
                <c:pt idx="36">
                  <c:v>50000</c:v>
                </c:pt>
                <c:pt idx="37">
                  <c:v>50000</c:v>
                </c:pt>
                <c:pt idx="38">
                  <c:v>50000</c:v>
                </c:pt>
                <c:pt idx="39">
                  <c:v>50000</c:v>
                </c:pt>
                <c:pt idx="40">
                  <c:v>50000</c:v>
                </c:pt>
                <c:pt idx="41">
                  <c:v>50000</c:v>
                </c:pt>
                <c:pt idx="42">
                  <c:v>50000</c:v>
                </c:pt>
                <c:pt idx="43">
                  <c:v>50000</c:v>
                </c:pt>
                <c:pt idx="44">
                  <c:v>50000</c:v>
                </c:pt>
                <c:pt idx="45">
                  <c:v>50000</c:v>
                </c:pt>
                <c:pt idx="46">
                  <c:v>50000</c:v>
                </c:pt>
                <c:pt idx="47">
                  <c:v>50000</c:v>
                </c:pt>
                <c:pt idx="48">
                  <c:v>50000</c:v>
                </c:pt>
                <c:pt idx="49">
                  <c:v>50000</c:v>
                </c:pt>
                <c:pt idx="50">
                  <c:v>50000</c:v>
                </c:pt>
                <c:pt idx="51">
                  <c:v>50000</c:v>
                </c:pt>
                <c:pt idx="52">
                  <c:v>50000</c:v>
                </c:pt>
                <c:pt idx="53">
                  <c:v>50000</c:v>
                </c:pt>
                <c:pt idx="54">
                  <c:v>50000</c:v>
                </c:pt>
                <c:pt idx="55">
                  <c:v>50000</c:v>
                </c:pt>
                <c:pt idx="56">
                  <c:v>50000</c:v>
                </c:pt>
                <c:pt idx="57">
                  <c:v>50000</c:v>
                </c:pt>
                <c:pt idx="58">
                  <c:v>50000</c:v>
                </c:pt>
                <c:pt idx="59">
                  <c:v>50000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0"/>
        <c:axId val="2709399"/>
        <c:axId val="53256524"/>
      </c:lineChart>
      <c:catAx>
        <c:axId val="2709399"/>
        <c:scaling>
          <c:orientation val="minMax"/>
        </c:scaling>
        <c:delete val="0"/>
        <c:axPos val="b"/>
        <c:numFmt formatCode="dd/mm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53256524"/>
        <c:crosses val="autoZero"/>
        <c:auto val="1"/>
        <c:lblAlgn val="ctr"/>
        <c:lblOffset val="100"/>
        <c:noMultiLvlLbl val="0"/>
      </c:catAx>
      <c:valAx>
        <c:axId val="53256524"/>
        <c:scaling>
          <c:orientation val="minMax"/>
        </c:scaling>
        <c:delete val="0"/>
        <c:axPos val="l"/>
        <c:majorGridlines>
          <c:spPr>
            <a:ln w="9360">
              <a:solidFill>
                <a:srgbClr val="e4e9f0"/>
              </a:solidFill>
              <a:round/>
            </a:ln>
          </c:spPr>
        </c:majorGridlines>
        <c:numFmt formatCode="\$#,##0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270939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150" spc="-1" strike="noStrike">
                <a:solidFill>
                  <a:srgbClr val="12161f"/>
                </a:solidFill>
                <a:latin typeface="Arial"/>
              </a:defRPr>
            </a:pPr>
            <a:r>
              <a:rPr b="1" sz="1150" spc="-1" strike="noStrike">
                <a:solidFill>
                  <a:srgbClr val="12161f"/>
                </a:solidFill>
                <a:latin typeface="Arial"/>
              </a:rPr>
              <a:t>P&amp;L por día de la semana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spPr>
            <a:solidFill>
              <a:srgbClr val="00e5ff"/>
            </a:solidFill>
            <a:ln w="28080">
              <a:solidFill>
                <a:srgbClr val="00e5ff"/>
              </a:solidFill>
              <a:round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Panel!$B$27:$B$31</c:f>
              <c:strCache>
                <c:ptCount val="5"/>
                <c:pt idx="0">
                  <c:v>Lunes</c:v>
                </c:pt>
                <c:pt idx="1">
                  <c:v>Martes</c:v>
                </c:pt>
                <c:pt idx="2">
                  <c:v>Miércoles</c:v>
                </c:pt>
                <c:pt idx="3">
                  <c:v>Jueves</c:v>
                </c:pt>
                <c:pt idx="4">
                  <c:v>Viernes</c:v>
                </c:pt>
              </c:strCache>
            </c:strRef>
          </c:cat>
          <c:val>
            <c:numRef>
              <c:f>Panel!$D$27:$D$31</c:f>
              <c:numCache>
                <c:formatCode>\$#,##0.00;"-$"#,##0.00;\—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gapWidth val="40"/>
        <c:overlap val="0"/>
        <c:axId val="76511690"/>
        <c:axId val="96438019"/>
      </c:barChart>
      <c:catAx>
        <c:axId val="7651169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96438019"/>
        <c:crosses val="autoZero"/>
        <c:auto val="1"/>
        <c:lblAlgn val="ctr"/>
        <c:lblOffset val="100"/>
        <c:noMultiLvlLbl val="0"/>
      </c:catAx>
      <c:valAx>
        <c:axId val="96438019"/>
        <c:scaling>
          <c:orientation val="minMax"/>
        </c:scaling>
        <c:delete val="0"/>
        <c:axPos val="l"/>
        <c:majorGridlines>
          <c:spPr>
            <a:ln w="9360">
              <a:solidFill>
                <a:srgbClr val="e4e9f0"/>
              </a:solidFill>
              <a:round/>
            </a:ln>
          </c:spPr>
        </c:majorGridlines>
        <c:numFmt formatCode="\$#,##0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7651169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150" spc="-1" strike="noStrike">
                <a:solidFill>
                  <a:srgbClr val="12161f"/>
                </a:solidFill>
                <a:latin typeface="Arial"/>
              </a:defRPr>
            </a:pPr>
            <a:r>
              <a:rPr b="1" sz="1150" spc="-1" strike="noStrike">
                <a:solidFill>
                  <a:srgbClr val="12161f"/>
                </a:solidFill>
                <a:latin typeface="Arial"/>
              </a:rPr>
              <a:t>P&amp;L por franja horaria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spPr>
            <a:solidFill>
              <a:srgbClr val="ffb547"/>
            </a:solidFill>
            <a:ln w="28080">
              <a:solidFill>
                <a:srgbClr val="ffb547"/>
              </a:solidFill>
              <a:round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Panel!$F$27:$F$50</c:f>
              <c:strCache>
                <c:ptCount val="24"/>
                <c:pt idx="0">
                  <c:v>00:00</c:v>
                </c:pt>
                <c:pt idx="1">
                  <c:v>01:00</c:v>
                </c:pt>
                <c:pt idx="2">
                  <c:v>02:00</c:v>
                </c:pt>
                <c:pt idx="3">
                  <c:v>03:00</c:v>
                </c:pt>
                <c:pt idx="4">
                  <c:v>04:00</c:v>
                </c:pt>
                <c:pt idx="5">
                  <c:v>05:00</c:v>
                </c:pt>
                <c:pt idx="6">
                  <c:v>06:00</c:v>
                </c:pt>
                <c:pt idx="7">
                  <c:v>07:00</c:v>
                </c:pt>
                <c:pt idx="8">
                  <c:v>08:00</c:v>
                </c:pt>
                <c:pt idx="9">
                  <c:v>09:00</c:v>
                </c:pt>
                <c:pt idx="10">
                  <c:v>10:00</c:v>
                </c:pt>
                <c:pt idx="11">
                  <c:v>11:00</c:v>
                </c:pt>
                <c:pt idx="12">
                  <c:v>12:00</c:v>
                </c:pt>
                <c:pt idx="13">
                  <c:v>13:00</c:v>
                </c:pt>
                <c:pt idx="14">
                  <c:v>14:00</c:v>
                </c:pt>
                <c:pt idx="15">
                  <c:v>15:00</c:v>
                </c:pt>
                <c:pt idx="16">
                  <c:v>16:00</c:v>
                </c:pt>
                <c:pt idx="17">
                  <c:v>17:00</c:v>
                </c:pt>
                <c:pt idx="18">
                  <c:v>18:00</c:v>
                </c:pt>
                <c:pt idx="19">
                  <c:v>19:00</c:v>
                </c:pt>
                <c:pt idx="20">
                  <c:v>20:00</c:v>
                </c:pt>
                <c:pt idx="21">
                  <c:v>21:00</c:v>
                </c:pt>
                <c:pt idx="22">
                  <c:v>22:00</c:v>
                </c:pt>
                <c:pt idx="23">
                  <c:v>23:00</c:v>
                </c:pt>
              </c:strCache>
            </c:strRef>
          </c:cat>
          <c:val>
            <c:numRef>
              <c:f>Panel!$H$27:$H$50</c:f>
              <c:numCache>
                <c:formatCode>\$#,##0.00;"-$"#,##0.00;\—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gapWidth val="40"/>
        <c:overlap val="0"/>
        <c:axId val="73701676"/>
        <c:axId val="15906982"/>
      </c:barChart>
      <c:catAx>
        <c:axId val="737016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15906982"/>
        <c:crosses val="autoZero"/>
        <c:auto val="1"/>
        <c:lblAlgn val="ctr"/>
        <c:lblOffset val="100"/>
        <c:noMultiLvlLbl val="0"/>
      </c:catAx>
      <c:valAx>
        <c:axId val="15906982"/>
        <c:scaling>
          <c:orientation val="minMax"/>
        </c:scaling>
        <c:delete val="0"/>
        <c:axPos val="l"/>
        <c:majorGridlines>
          <c:spPr>
            <a:ln w="9360">
              <a:solidFill>
                <a:srgbClr val="e4e9f0"/>
              </a:solidFill>
              <a:round/>
            </a:ln>
          </c:spPr>
        </c:majorGridlines>
        <c:numFmt formatCode="\$#,##0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73701676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150" spc="-1" strike="noStrike">
                <a:solidFill>
                  <a:srgbClr val="12161f"/>
                </a:solidFill>
                <a:latin typeface="Arial"/>
              </a:defRPr>
            </a:pPr>
            <a:r>
              <a:rPr b="1" sz="1150" spc="-1" strike="noStrike">
                <a:solidFill>
                  <a:srgbClr val="12161f"/>
                </a:solidFill>
                <a:latin typeface="Arial"/>
              </a:rPr>
              <a:t>P&amp;L por setup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spPr>
            <a:solidFill>
              <a:srgbClr val="ff2d87"/>
            </a:solidFill>
            <a:ln w="28080">
              <a:solidFill>
                <a:srgbClr val="ff2d87"/>
              </a:solidFill>
              <a:round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Panel!$N$27:$N$32</c:f>
              <c:strCache>
                <c:ptCount val="6"/>
                <c:pt idx="0">
                  <c:v>Ruptura del rango</c:v>
                </c:pt>
                <c:pt idx="1">
                  <c:v>Falsa ruptura</c:v>
                </c:pt>
                <c:pt idx="2">
                  <c:v>Retest del rango</c:v>
                </c:pt>
                <c:pt idx="3">
                  <c:v>Reversión al medio</c:v>
                </c:pt>
                <c:pt idx="4">
                  <c:v>Continuación</c:v>
                </c:pt>
                <c:pt idx="5">
                  <c:v>Fuera de plan</c:v>
                </c:pt>
              </c:strCache>
            </c:strRef>
          </c:cat>
          <c:val>
            <c:numRef>
              <c:f>Panel!$P$27:$P$32</c:f>
              <c:numCache>
                <c:formatCode>\$#,##0.00;"-$"#,##0.00;\—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40"/>
        <c:overlap val="0"/>
        <c:axId val="6937394"/>
        <c:axId val="64146206"/>
      </c:barChart>
      <c:catAx>
        <c:axId val="693739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64146206"/>
        <c:crosses val="autoZero"/>
        <c:auto val="1"/>
        <c:lblAlgn val="ctr"/>
        <c:lblOffset val="100"/>
        <c:noMultiLvlLbl val="0"/>
      </c:catAx>
      <c:valAx>
        <c:axId val="64146206"/>
        <c:scaling>
          <c:orientation val="minMax"/>
        </c:scaling>
        <c:delete val="0"/>
        <c:axPos val="l"/>
        <c:majorGridlines>
          <c:spPr>
            <a:ln w="9360">
              <a:solidFill>
                <a:srgbClr val="e4e9f0"/>
              </a:solidFill>
              <a:round/>
            </a:ln>
          </c:spPr>
        </c:majorGridlines>
        <c:numFmt formatCode="\$#,##0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6937394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150" spc="-1" strike="noStrike">
                <a:solidFill>
                  <a:srgbClr val="12161f"/>
                </a:solidFill>
                <a:latin typeface="Arial"/>
              </a:defRPr>
            </a:pPr>
            <a:r>
              <a:rPr b="1" sz="1150" spc="-1" strike="noStrike">
                <a:solidFill>
                  <a:srgbClr val="12161f"/>
                </a:solidFill>
                <a:latin typeface="Arial"/>
              </a:rPr>
              <a:t>P&amp;L por instrumento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spPr>
            <a:solidFill>
              <a:srgbClr val="3ddc97"/>
            </a:solidFill>
            <a:ln w="28080">
              <a:solidFill>
                <a:srgbClr val="3ddc97"/>
              </a:solidFill>
              <a:round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Panel!$J$27:$J$41</c:f>
              <c:strCache>
                <c:ptCount val="15"/>
                <c:pt idx="0">
                  <c:v>NQ</c:v>
                </c:pt>
                <c:pt idx="1">
                  <c:v>MNQ</c:v>
                </c:pt>
                <c:pt idx="2">
                  <c:v>ES</c:v>
                </c:pt>
                <c:pt idx="3">
                  <c:v>MES</c:v>
                </c:pt>
                <c:pt idx="4">
                  <c:v>YM</c:v>
                </c:pt>
                <c:pt idx="5">
                  <c:v>MYM</c:v>
                </c:pt>
                <c:pt idx="6">
                  <c:v>RTY</c:v>
                </c:pt>
                <c:pt idx="7">
                  <c:v>M2K</c:v>
                </c:pt>
                <c:pt idx="8">
                  <c:v>CL</c:v>
                </c:pt>
                <c:pt idx="9">
                  <c:v>MCL</c:v>
                </c:pt>
                <c:pt idx="10">
                  <c:v>GC</c:v>
                </c:pt>
                <c:pt idx="11">
                  <c:v>MGC</c:v>
                </c:pt>
                <c:pt idx="12">
                  <c:v>6E</c:v>
                </c:pt>
                <c:pt idx="13">
                  <c:v>6B</c:v>
                </c:pt>
                <c:pt idx="14">
                  <c:v>6A</c:v>
                </c:pt>
              </c:strCache>
            </c:strRef>
          </c:cat>
          <c:val>
            <c:numRef>
              <c:f>Panel!$L$27:$L$41</c:f>
              <c:numCache>
                <c:formatCode>\$#,##0.00;"-$"#,##0.00;\—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gapWidth val="40"/>
        <c:overlap val="0"/>
        <c:axId val="51678974"/>
        <c:axId val="97166921"/>
      </c:barChart>
      <c:catAx>
        <c:axId val="5167897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97166921"/>
        <c:crosses val="autoZero"/>
        <c:auto val="1"/>
        <c:lblAlgn val="ctr"/>
        <c:lblOffset val="100"/>
        <c:noMultiLvlLbl val="0"/>
      </c:catAx>
      <c:valAx>
        <c:axId val="97166921"/>
        <c:scaling>
          <c:orientation val="minMax"/>
        </c:scaling>
        <c:delete val="0"/>
        <c:axPos val="l"/>
        <c:majorGridlines>
          <c:spPr>
            <a:ln w="9360">
              <a:solidFill>
                <a:srgbClr val="e4e9f0"/>
              </a:solidFill>
              <a:round/>
            </a:ln>
          </c:spPr>
        </c:majorGridlines>
        <c:numFmt formatCode="\$#,##0" sourceLinked="0"/>
        <c:majorTickMark val="none"/>
        <c:minorTickMark val="none"/>
        <c:tickLblPos val="nextTo"/>
        <c:spPr>
          <a:ln w="9360">
            <a:solidFill>
              <a:srgbClr val="c9d2de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d6b80"/>
                </a:solidFill>
                <a:latin typeface="Arial"/>
              </a:defRPr>
            </a:pPr>
          </a:p>
        </c:txPr>
        <c:crossAx val="51678974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53</xdr:row>
      <xdr:rowOff>0</xdr:rowOff>
    </xdr:from>
    <xdr:to>
      <xdr:col>13</xdr:col>
      <xdr:colOff>1029240</xdr:colOff>
      <xdr:row>69</xdr:row>
      <xdr:rowOff>188280</xdr:rowOff>
    </xdr:to>
    <xdr:graphicFrame>
      <xdr:nvGraphicFramePr>
        <xdr:cNvPr id="0" name="Chart 1"/>
        <xdr:cNvGraphicFramePr/>
      </xdr:nvGraphicFramePr>
      <xdr:xfrm>
        <a:off x="211320" y="10496520"/>
        <a:ext cx="12236400" cy="3236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72</xdr:row>
      <xdr:rowOff>0</xdr:rowOff>
    </xdr:from>
    <xdr:to>
      <xdr:col>7</xdr:col>
      <xdr:colOff>187920</xdr:colOff>
      <xdr:row>88</xdr:row>
      <xdr:rowOff>188280</xdr:rowOff>
    </xdr:to>
    <xdr:graphicFrame>
      <xdr:nvGraphicFramePr>
        <xdr:cNvPr id="1" name="Chart 2"/>
        <xdr:cNvGraphicFramePr/>
      </xdr:nvGraphicFramePr>
      <xdr:xfrm>
        <a:off x="211320" y="14115960"/>
        <a:ext cx="5756400" cy="3236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9</xdr:col>
      <xdr:colOff>0</xdr:colOff>
      <xdr:row>72</xdr:row>
      <xdr:rowOff>0</xdr:rowOff>
    </xdr:from>
    <xdr:to>
      <xdr:col>15</xdr:col>
      <xdr:colOff>907920</xdr:colOff>
      <xdr:row>88</xdr:row>
      <xdr:rowOff>188280</xdr:rowOff>
    </xdr:to>
    <xdr:graphicFrame>
      <xdr:nvGraphicFramePr>
        <xdr:cNvPr id="2" name="Chart 3"/>
        <xdr:cNvGraphicFramePr/>
      </xdr:nvGraphicFramePr>
      <xdr:xfrm>
        <a:off x="7682760" y="14115960"/>
        <a:ext cx="6476400" cy="3236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0</xdr:colOff>
      <xdr:row>90</xdr:row>
      <xdr:rowOff>0</xdr:rowOff>
    </xdr:from>
    <xdr:to>
      <xdr:col>7</xdr:col>
      <xdr:colOff>187920</xdr:colOff>
      <xdr:row>106</xdr:row>
      <xdr:rowOff>188280</xdr:rowOff>
    </xdr:to>
    <xdr:graphicFrame>
      <xdr:nvGraphicFramePr>
        <xdr:cNvPr id="3" name="Chart 4"/>
        <xdr:cNvGraphicFramePr/>
      </xdr:nvGraphicFramePr>
      <xdr:xfrm>
        <a:off x="211320" y="17544960"/>
        <a:ext cx="5756400" cy="3236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9</xdr:col>
      <xdr:colOff>0</xdr:colOff>
      <xdr:row>90</xdr:row>
      <xdr:rowOff>0</xdr:rowOff>
    </xdr:from>
    <xdr:to>
      <xdr:col>15</xdr:col>
      <xdr:colOff>907920</xdr:colOff>
      <xdr:row>106</xdr:row>
      <xdr:rowOff>188280</xdr:rowOff>
    </xdr:to>
    <xdr:graphicFrame>
      <xdr:nvGraphicFramePr>
        <xdr:cNvPr id="4" name="Chart 5"/>
        <xdr:cNvGraphicFramePr/>
      </xdr:nvGraphicFramePr>
      <xdr:xfrm>
        <a:off x="7682760" y="17544960"/>
        <a:ext cx="6476400" cy="3236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E5FF"/>
    <pageSetUpPr fitToPage="true"/>
  </sheetPr>
  <dimension ref="A1:AH7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8"/>
    <col collapsed="false" customWidth="true" hidden="false" outlineLevel="0" max="3" min="3" style="1" width="32"/>
    <col collapsed="false" customWidth="true" hidden="false" outlineLevel="0" max="4" min="4" style="1" width="16"/>
    <col collapsed="false" customWidth="true" hidden="false" outlineLevel="0" max="5" min="5" style="1" width="3"/>
    <col collapsed="false" customWidth="true" hidden="false" outlineLevel="0" max="6" min="6" style="1" width="54"/>
    <col collapsed="false" customWidth="true" hidden="false" outlineLevel="0" max="10" min="7" style="1" width="11"/>
    <col collapsed="false" customWidth="true" hidden="false" outlineLevel="0" max="11" min="11" style="1" width="13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customFormat="false" ht="31.5" hidden="false" customHeight="true" outlineLevel="0" collapsed="false">
      <c r="A2" s="2"/>
      <c r="B2" s="4" t="s">
        <v>0</v>
      </c>
      <c r="C2" s="5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customFormat="false" ht="15" hidden="false" customHeight="true" outlineLevel="0" collapsed="false">
      <c r="A3" s="2"/>
      <c r="B3" s="2"/>
      <c r="C3" s="6" t="s">
        <v>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customFormat="false" ht="15" hidden="false" customHeight="tru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customFormat="false" ht="15" hidden="false" customHeight="tru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customFormat="false" ht="15" hidden="false" customHeight="true" outlineLevel="0" collapsed="false">
      <c r="A6" s="2"/>
      <c r="B6" s="7" t="s">
        <v>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customFormat="false" ht="15" hidden="false" customHeight="true" outlineLevel="0" collapsed="false">
      <c r="A7" s="2"/>
      <c r="B7" s="8" t="s">
        <v>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customFormat="false" ht="21.75" hidden="false" customHeight="true" outlineLevel="0" collapsed="false">
      <c r="A8" s="2"/>
      <c r="B8" s="2"/>
      <c r="C8" s="9" t="s">
        <v>5</v>
      </c>
      <c r="D8" s="10" t="n">
        <v>50000</v>
      </c>
      <c r="E8" s="2"/>
      <c r="F8" s="8" t="s">
        <v>6</v>
      </c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customFormat="false" ht="21.75" hidden="false" customHeight="true" outlineLevel="0" collapsed="false">
      <c r="A9" s="2"/>
      <c r="B9" s="2"/>
      <c r="C9" s="9" t="s">
        <v>7</v>
      </c>
      <c r="D9" s="10" t="n">
        <v>1000</v>
      </c>
      <c r="E9" s="2"/>
      <c r="F9" s="8" t="s">
        <v>8</v>
      </c>
      <c r="G9" s="2"/>
      <c r="H9" s="2"/>
      <c r="I9" s="2"/>
      <c r="J9" s="2"/>
      <c r="K9" s="2"/>
      <c r="L9" s="2"/>
      <c r="M9" s="2"/>
      <c r="N9" s="2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customFormat="false" ht="21.75" hidden="false" customHeight="true" outlineLevel="0" collapsed="false">
      <c r="A10" s="2"/>
      <c r="B10" s="2"/>
      <c r="C10" s="9" t="s">
        <v>9</v>
      </c>
      <c r="D10" s="10" t="n">
        <v>2000</v>
      </c>
      <c r="E10" s="2"/>
      <c r="F10" s="8" t="s">
        <v>10</v>
      </c>
      <c r="G10" s="2"/>
      <c r="H10" s="2"/>
      <c r="I10" s="2"/>
      <c r="J10" s="2"/>
      <c r="K10" s="2"/>
      <c r="L10" s="2"/>
      <c r="M10" s="2"/>
      <c r="N10" s="2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customFormat="false" ht="21.75" hidden="false" customHeight="true" outlineLevel="0" collapsed="false">
      <c r="A11" s="2"/>
      <c r="B11" s="2"/>
      <c r="C11" s="9" t="s">
        <v>11</v>
      </c>
      <c r="D11" s="11" t="n">
        <v>0.01</v>
      </c>
      <c r="E11" s="2"/>
      <c r="F11" s="8" t="s">
        <v>12</v>
      </c>
      <c r="G11" s="2"/>
      <c r="H11" s="2"/>
      <c r="I11" s="2"/>
      <c r="J11" s="2"/>
      <c r="K11" s="2"/>
      <c r="L11" s="2"/>
      <c r="M11" s="2"/>
      <c r="N11" s="2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customFormat="false" ht="1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customFormat="false" ht="1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customFormat="false" ht="15" hidden="false" customHeight="true" outlineLevel="0" collapsed="false">
      <c r="A14" s="2"/>
      <c r="B14" s="7" t="s">
        <v>13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customFormat="false" ht="19.5" hidden="false" customHeight="true" outlineLevel="0" collapsed="false">
      <c r="A15" s="2"/>
      <c r="B15" s="12" t="s">
        <v>14</v>
      </c>
      <c r="C15" s="13" t="s">
        <v>15</v>
      </c>
      <c r="D15" s="13"/>
      <c r="E15" s="13"/>
      <c r="F15" s="13"/>
      <c r="G15" s="2"/>
      <c r="H15" s="2"/>
      <c r="I15" s="2"/>
      <c r="J15" s="2"/>
      <c r="K15" s="2"/>
      <c r="L15" s="2"/>
      <c r="M15" s="2"/>
      <c r="N15" s="2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customFormat="false" ht="19.5" hidden="false" customHeight="true" outlineLevel="0" collapsed="false">
      <c r="A16" s="2"/>
      <c r="B16" s="12" t="s">
        <v>16</v>
      </c>
      <c r="C16" s="13" t="s">
        <v>17</v>
      </c>
      <c r="D16" s="13"/>
      <c r="E16" s="13"/>
      <c r="F16" s="13"/>
      <c r="G16" s="2"/>
      <c r="H16" s="2"/>
      <c r="I16" s="2"/>
      <c r="J16" s="2"/>
      <c r="K16" s="2"/>
      <c r="L16" s="2"/>
      <c r="M16" s="2"/>
      <c r="N16" s="2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customFormat="false" ht="19.5" hidden="false" customHeight="true" outlineLevel="0" collapsed="false">
      <c r="A17" s="2"/>
      <c r="B17" s="12" t="s">
        <v>18</v>
      </c>
      <c r="C17" s="13" t="s">
        <v>19</v>
      </c>
      <c r="D17" s="13"/>
      <c r="E17" s="13"/>
      <c r="F17" s="13"/>
      <c r="G17" s="2"/>
      <c r="H17" s="2"/>
      <c r="I17" s="2"/>
      <c r="J17" s="2"/>
      <c r="K17" s="2"/>
      <c r="L17" s="2"/>
      <c r="M17" s="2"/>
      <c r="N17" s="2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customFormat="false" ht="19.5" hidden="false" customHeight="true" outlineLevel="0" collapsed="false">
      <c r="A18" s="2"/>
      <c r="B18" s="12" t="s">
        <v>20</v>
      </c>
      <c r="C18" s="13" t="s">
        <v>21</v>
      </c>
      <c r="D18" s="13"/>
      <c r="E18" s="13"/>
      <c r="F18" s="13"/>
      <c r="G18" s="2"/>
      <c r="H18" s="2"/>
      <c r="I18" s="2"/>
      <c r="J18" s="2"/>
      <c r="K18" s="2"/>
      <c r="L18" s="2"/>
      <c r="M18" s="2"/>
      <c r="N18" s="2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customFormat="false" ht="19.5" hidden="false" customHeight="true" outlineLevel="0" collapsed="false">
      <c r="A19" s="2"/>
      <c r="B19" s="12" t="s">
        <v>22</v>
      </c>
      <c r="C19" s="13" t="s">
        <v>23</v>
      </c>
      <c r="D19" s="13"/>
      <c r="E19" s="13"/>
      <c r="F19" s="13"/>
      <c r="G19" s="2"/>
      <c r="H19" s="2"/>
      <c r="I19" s="2"/>
      <c r="J19" s="2"/>
      <c r="K19" s="2"/>
      <c r="L19" s="2"/>
      <c r="M19" s="2"/>
      <c r="N19" s="2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customFormat="false" ht="19.5" hidden="false" customHeight="true" outlineLevel="0" collapsed="false">
      <c r="A20" s="2"/>
      <c r="B20" s="12" t="s">
        <v>24</v>
      </c>
      <c r="C20" s="13" t="s">
        <v>25</v>
      </c>
      <c r="D20" s="13"/>
      <c r="E20" s="13"/>
      <c r="F20" s="13"/>
      <c r="G20" s="2"/>
      <c r="H20" s="2"/>
      <c r="I20" s="2"/>
      <c r="J20" s="2"/>
      <c r="K20" s="2"/>
      <c r="L20" s="2"/>
      <c r="M20" s="2"/>
      <c r="N20" s="2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customFormat="false" ht="15" hidden="false" customHeight="true" outlineLevel="0" collapsed="fals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customFormat="false" ht="15" hidden="false" customHeight="true" outlineLevel="0" collapsed="false">
      <c r="A22" s="2"/>
      <c r="B22" s="7" t="s">
        <v>26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customFormat="false" ht="15" hidden="false" customHeight="true" outlineLevel="0" collapsed="false">
      <c r="A23" s="2"/>
      <c r="B23" s="14" t="s">
        <v>27</v>
      </c>
      <c r="C23" s="15" t="s">
        <v>28</v>
      </c>
      <c r="D23" s="16" t="s">
        <v>29</v>
      </c>
      <c r="E23" s="16"/>
      <c r="F23" s="16"/>
      <c r="G23" s="2"/>
      <c r="H23" s="2"/>
      <c r="I23" s="2"/>
      <c r="J23" s="2"/>
      <c r="K23" s="2"/>
      <c r="L23" s="2"/>
      <c r="M23" s="2"/>
      <c r="N23" s="2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customFormat="false" ht="15" hidden="false" customHeight="true" outlineLevel="0" collapsed="false">
      <c r="A24" s="2"/>
      <c r="B24" s="12" t="s">
        <v>27</v>
      </c>
      <c r="C24" s="15" t="s">
        <v>30</v>
      </c>
      <c r="D24" s="16" t="s">
        <v>31</v>
      </c>
      <c r="E24" s="16"/>
      <c r="F24" s="16"/>
      <c r="G24" s="2"/>
      <c r="H24" s="2"/>
      <c r="I24" s="2"/>
      <c r="J24" s="2"/>
      <c r="K24" s="2"/>
      <c r="L24" s="2"/>
      <c r="M24" s="2"/>
      <c r="N24" s="2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customFormat="false" ht="15" hidden="false" customHeight="true" outlineLevel="0" collapsed="false">
      <c r="A25" s="2"/>
      <c r="B25" s="17" t="s">
        <v>27</v>
      </c>
      <c r="C25" s="15" t="s">
        <v>32</v>
      </c>
      <c r="D25" s="16" t="s">
        <v>33</v>
      </c>
      <c r="E25" s="16"/>
      <c r="F25" s="16"/>
      <c r="G25" s="2"/>
      <c r="H25" s="2"/>
      <c r="I25" s="2"/>
      <c r="J25" s="2"/>
      <c r="K25" s="2"/>
      <c r="L25" s="2"/>
      <c r="M25" s="2"/>
      <c r="N25" s="2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customFormat="false" ht="15" hidden="false" customHeight="true" outlineLevel="0" collapsed="false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customFormat="false" ht="15" hidden="false" customHeight="true" outlineLevel="0" collapsed="fals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customFormat="false" ht="15" hidden="false" customHeight="true" outlineLevel="0" collapsed="false">
      <c r="A28" s="2"/>
      <c r="B28" s="7" t="s">
        <v>34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customFormat="false" ht="15" hidden="false" customHeight="true" outlineLevel="0" collapsed="false">
      <c r="A29" s="2"/>
      <c r="B29" s="8" t="s">
        <v>35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customFormat="false" ht="15" hidden="false" customHeight="true" outlineLevel="0" collapsed="fals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customFormat="false" ht="15" hidden="false" customHeight="true" outlineLevel="0" collapsed="false">
      <c r="A31" s="2"/>
      <c r="B31" s="2"/>
      <c r="C31" s="18" t="s">
        <v>36</v>
      </c>
      <c r="D31" s="18" t="s">
        <v>37</v>
      </c>
      <c r="E31" s="18" t="s">
        <v>38</v>
      </c>
      <c r="F31" s="18" t="s">
        <v>39</v>
      </c>
      <c r="G31" s="18" t="s">
        <v>40</v>
      </c>
      <c r="H31" s="2"/>
      <c r="I31" s="19" t="s">
        <v>41</v>
      </c>
      <c r="J31" s="19" t="s">
        <v>42</v>
      </c>
      <c r="K31" s="19" t="s">
        <v>43</v>
      </c>
      <c r="L31" s="2"/>
      <c r="M31" s="2"/>
      <c r="N31" s="2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customFormat="false" ht="15" hidden="false" customHeight="true" outlineLevel="0" collapsed="false">
      <c r="A32" s="2"/>
      <c r="B32" s="2"/>
      <c r="C32" s="20" t="s">
        <v>44</v>
      </c>
      <c r="D32" s="20" t="s">
        <v>45</v>
      </c>
      <c r="E32" s="20" t="n">
        <v>1</v>
      </c>
      <c r="F32" s="20" t="s">
        <v>46</v>
      </c>
      <c r="G32" s="20" t="s">
        <v>47</v>
      </c>
      <c r="H32" s="2"/>
      <c r="I32" s="21" t="s">
        <v>48</v>
      </c>
      <c r="J32" s="21" t="s">
        <v>48</v>
      </c>
      <c r="K32" s="21" t="s">
        <v>49</v>
      </c>
      <c r="L32" s="2"/>
      <c r="M32" s="2"/>
      <c r="N32" s="2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customFormat="false" ht="15" hidden="false" customHeight="true" outlineLevel="0" collapsed="fals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customFormat="false" ht="15" hidden="false" customHeight="true" outlineLevel="0" collapsed="false">
      <c r="A34" s="2"/>
      <c r="B34" s="22" t="s">
        <v>50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"/>
      <c r="N34" s="2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customFormat="false" ht="15" hidden="false" customHeight="true" outlineLevel="0" collapsed="fals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customFormat="false" ht="15" hidden="false" customHeight="true" outlineLevel="0" collapsed="false">
      <c r="A36" s="2"/>
      <c r="B36" s="23"/>
      <c r="C36" s="23"/>
      <c r="D36" s="23"/>
      <c r="E36" s="23"/>
      <c r="F36" s="23"/>
      <c r="G36" s="23"/>
      <c r="H36" s="2"/>
      <c r="I36" s="2"/>
      <c r="J36" s="2"/>
      <c r="K36" s="2"/>
      <c r="L36" s="2"/>
      <c r="M36" s="2"/>
      <c r="N36" s="2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customFormat="false" ht="15" hidden="false" customHeight="true" outlineLevel="0" collapsed="fals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customFormat="false" ht="15" hidden="false" customHeight="true" outlineLevel="0" collapsed="false">
      <c r="A38" s="2"/>
      <c r="B38" s="24" t="s">
        <v>51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customFormat="false" ht="15" hidden="false" customHeight="true" outlineLevel="0" collapsed="false">
      <c r="A39" s="2"/>
      <c r="B39" s="2" t="s">
        <v>52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customFormat="false" ht="15" hidden="false" customHeight="true" outlineLevel="0" collapsed="false">
      <c r="A40" s="2"/>
      <c r="B40" s="25" t="s">
        <v>53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customFormat="false" ht="15" hidden="false" customHeight="true" outlineLevel="0" collapsed="false">
      <c r="A41" s="2"/>
      <c r="B41" s="26"/>
      <c r="C41" s="26"/>
      <c r="D41" s="26"/>
      <c r="E41" s="26"/>
      <c r="F41" s="26"/>
      <c r="G41" s="26"/>
      <c r="H41" s="26"/>
      <c r="I41" s="26"/>
      <c r="J41" s="26"/>
      <c r="K41" s="2"/>
      <c r="L41" s="2"/>
      <c r="M41" s="2"/>
      <c r="N41" s="2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customFormat="false" ht="15" hidden="false" customHeight="true" outlineLevel="0" collapsed="false">
      <c r="A42" s="2"/>
      <c r="B42" s="27" t="s">
        <v>54</v>
      </c>
      <c r="C42" s="28" t="s">
        <v>55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customFormat="false" ht="15" hidden="false" customHeight="true" outlineLevel="0" collapsed="false">
      <c r="A43" s="2"/>
      <c r="B43" s="27" t="s">
        <v>56</v>
      </c>
      <c r="C43" s="28" t="s">
        <v>57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customFormat="false" ht="15" hidden="false" customHeight="true" outlineLevel="0" collapsed="false">
      <c r="A44" s="2"/>
      <c r="B44" s="27" t="s">
        <v>58</v>
      </c>
      <c r="C44" s="28" t="s">
        <v>59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customFormat="false" ht="15" hidden="false" customHeight="true" outlineLevel="0" collapsed="fals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customFormat="false" ht="15" hidden="false" customHeight="true" outlineLevel="0" collapsed="false">
      <c r="A46" s="2"/>
      <c r="B46" s="29" t="s">
        <v>60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customFormat="false" ht="15" hidden="false" customHeight="true" outlineLevel="0" collapsed="false">
      <c r="A47" s="2"/>
      <c r="B47" s="8" t="s">
        <v>61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customFormat="false" ht="15" hidden="false" customHeight="true" outlineLevel="0" collapsed="fals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customFormat="false" ht="15" hidden="false" customHeight="true" outlineLevel="0" collapsed="false">
      <c r="A49" s="2"/>
      <c r="B49" s="30" t="s">
        <v>62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customFormat="false" ht="15" hidden="false" customHeight="true" outlineLevel="0" collapsed="fals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customFormat="false" ht="15" hidden="false" customHeight="true" outlineLevel="0" collapsed="fals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customFormat="false" ht="15" hidden="false" customHeight="true" outlineLevel="0" collapsed="fals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customFormat="false" ht="15" hidden="false" customHeight="true" outlineLevel="0" collapsed="fals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customFormat="false" ht="15" hidden="false" customHeight="true" outlineLevel="0" collapsed="fals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customFormat="false" ht="15" hidden="false" customHeight="true" outlineLevel="0" collapsed="fals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customFormat="false" ht="15" hidden="false" customHeight="true" outlineLevel="0" collapsed="fals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customFormat="false" ht="15" hidden="false" customHeight="true" outlineLevel="0" collapsed="fals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customFormat="false" ht="15" hidden="false" customHeight="true" outlineLevel="0" collapsed="fals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customFormat="false" ht="15" hidden="false" customHeight="true" outlineLevel="0" collapsed="fals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customFormat="false" ht="15" hidden="false" customHeight="true" outlineLevel="0" collapsed="fals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customFormat="false" ht="15" hidden="false" customHeight="tru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customFormat="false" ht="15" hidden="false" customHeight="tru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customFormat="false" ht="15" hidden="false" customHeight="tru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customFormat="false" ht="15" hidden="false" customHeight="tru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customFormat="false" ht="15" hidden="false" customHeight="tru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customFormat="false" ht="15" hidden="false" customHeight="tru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customFormat="false" ht="15" hidden="false" customHeight="tru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customFormat="false" ht="15" hidden="false" customHeight="tru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customFormat="false" ht="15" hidden="false" customHeight="tru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customFormat="false" ht="15" hidden="false" customHeight="tru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customFormat="false" ht="15" hidden="false" customHeight="tru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customFormat="false" ht="15" hidden="false" customHeight="tru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</sheetData>
  <mergeCells count="11">
    <mergeCell ref="C15:F15"/>
    <mergeCell ref="C16:F16"/>
    <mergeCell ref="C17:F17"/>
    <mergeCell ref="C18:F18"/>
    <mergeCell ref="C19:F19"/>
    <mergeCell ref="C20:F20"/>
    <mergeCell ref="D23:F23"/>
    <mergeCell ref="D24:F24"/>
    <mergeCell ref="D25:F25"/>
    <mergeCell ref="B34:L34"/>
    <mergeCell ref="B41:J4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B547"/>
    <pageSetUpPr fitToPage="false"/>
  </sheetPr>
  <dimension ref="A1:AH5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13"/>
    <col collapsed="false" customWidth="true" hidden="false" outlineLevel="0" max="3" min="3" style="1" width="14"/>
    <col collapsed="false" customWidth="true" hidden="false" outlineLevel="0" max="5" min="4" style="1" width="12"/>
    <col collapsed="false" customWidth="true" hidden="false" outlineLevel="0" max="6" min="6" style="1" width="15"/>
    <col collapsed="false" customWidth="true" hidden="false" outlineLevel="0" max="7" min="7" style="1" width="14"/>
    <col collapsed="false" customWidth="true" hidden="false" outlineLevel="0" max="8" min="8" style="1" width="13"/>
    <col collapsed="false" customWidth="true" hidden="false" outlineLevel="0" max="9" min="9" style="1" width="10"/>
    <col collapsed="false" customWidth="true" hidden="false" outlineLevel="0" max="10" min="10" style="1" width="12"/>
    <col collapsed="false" customWidth="true" hidden="false" outlineLevel="0" max="11" min="11" style="1" width="10"/>
    <col collapsed="false" customWidth="true" hidden="false" outlineLevel="0" max="12" min="12" style="1" width="12"/>
    <col collapsed="false" customWidth="true" hidden="false" outlineLevel="0" max="13" min="13" style="1" width="20"/>
    <col collapsed="false" customWidth="true" hidden="false" outlineLevel="0" max="14" min="14" style="1" width="14"/>
    <col collapsed="false" customWidth="true" hidden="false" outlineLevel="0" max="15" min="15" style="1" width="46"/>
    <col collapsed="false" customWidth="true" hidden="true" outlineLevel="0" max="24" min="21" style="1" width="13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customFormat="false" ht="31.5" hidden="false" customHeight="true" outlineLevel="0" collapsed="false">
      <c r="A2" s="2"/>
      <c r="B2" s="4" t="s">
        <v>0</v>
      </c>
      <c r="C2" s="5" t="s">
        <v>63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customFormat="false" ht="15" hidden="false" customHeight="true" outlineLevel="0" collapsed="false">
      <c r="A3" s="2"/>
      <c r="B3" s="31" t="s">
        <v>64</v>
      </c>
      <c r="C3" s="2"/>
      <c r="D3" s="2"/>
      <c r="E3" s="2"/>
      <c r="F3" s="2"/>
      <c r="G3" s="32" t="s">
        <v>65</v>
      </c>
      <c r="H3" s="2"/>
      <c r="I3" s="2"/>
      <c r="J3" s="2"/>
      <c r="K3" s="2"/>
      <c r="L3" s="27" t="s">
        <v>66</v>
      </c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customFormat="false" ht="30" hidden="false" customHeight="true" outlineLevel="0" collapsed="false">
      <c r="A4" s="2"/>
      <c r="B4" s="33" t="s">
        <v>36</v>
      </c>
      <c r="C4" s="33" t="s">
        <v>67</v>
      </c>
      <c r="D4" s="33" t="s">
        <v>68</v>
      </c>
      <c r="E4" s="33" t="s">
        <v>39</v>
      </c>
      <c r="F4" s="33" t="s">
        <v>69</v>
      </c>
      <c r="G4" s="34" t="s">
        <v>41</v>
      </c>
      <c r="H4" s="34" t="s">
        <v>42</v>
      </c>
      <c r="I4" s="34" t="s">
        <v>43</v>
      </c>
      <c r="J4" s="34" t="s">
        <v>70</v>
      </c>
      <c r="K4" s="34" t="s">
        <v>71</v>
      </c>
      <c r="L4" s="35" t="s">
        <v>72</v>
      </c>
      <c r="M4" s="35" t="s">
        <v>73</v>
      </c>
      <c r="N4" s="35" t="s">
        <v>74</v>
      </c>
      <c r="O4" s="35" t="s">
        <v>75</v>
      </c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customFormat="false" ht="15" hidden="false" customHeight="true" outlineLevel="0" collapsed="false">
      <c r="A5" s="2"/>
      <c r="B5" s="36"/>
      <c r="C5" s="37"/>
      <c r="D5" s="37"/>
      <c r="E5" s="38"/>
      <c r="F5" s="39"/>
      <c r="G5" s="40" t="str">
        <f aca="false">IF(OR($E5="",$C5="",$D5=""),"",$E5*$D5*IFERROR(INDEX(Listas!$C$6:$C$20,MATCH($C5,Listas!$B$6:$B$20,0)),0)-$D5*IFERROR(INDEX(Listas!$D$6:$D$20,MATCH($C5,Listas!$B$6:$B$20,0)),0))</f>
        <v/>
      </c>
      <c r="H5" s="41" t="str">
        <f aca="false">IF(OR($F5="",$C5="",$D5=""),"",ABS($F5)*$D5*IFERROR(INDEX(Listas!$C$6:$C$20,MATCH($C5,Listas!$B$6:$B$20,0)),0))</f>
        <v/>
      </c>
      <c r="I5" s="42" t="str">
        <f aca="false">IF(OR($E5="",$F5="",$F5=0),"",$E5/ABS($F5))</f>
        <v/>
      </c>
      <c r="J5" s="43" t="str">
        <f aca="false">IF($B5="","",INDEX(Listas!$G$6:$G$12,WEEKDAY($B5,1)))</f>
        <v/>
      </c>
      <c r="K5" s="43" t="str">
        <f aca="false">IFERROR(IF($L5="","",TEXT(IF($L5&lt;1,HOUR($L5),INT($L5)),"00")&amp;":00"),"")</f>
        <v/>
      </c>
      <c r="L5" s="44"/>
      <c r="M5" s="45"/>
      <c r="N5" s="46"/>
      <c r="O5" s="45"/>
      <c r="P5" s="2"/>
      <c r="Q5" s="2"/>
      <c r="R5" s="2"/>
      <c r="S5" s="2"/>
      <c r="T5" s="2"/>
      <c r="U5" s="47" t="str">
        <f aca="false">IF($G5="","",IF($G5&lt;0,1,0))</f>
        <v/>
      </c>
      <c r="V5" s="47" t="str">
        <f aca="false">IF($G5="","",'Empieza aquí'!$D$8+$G5)</f>
        <v/>
      </c>
      <c r="W5" s="47" t="str">
        <f aca="false">IF($V5="","",MAX('Empieza aquí'!$D$8,$V5))</f>
        <v/>
      </c>
      <c r="X5" s="47" t="str">
        <f aca="false">IF($V5="","",$V5-$W5)</f>
        <v/>
      </c>
      <c r="Y5" s="3"/>
      <c r="Z5" s="3"/>
      <c r="AA5" s="3"/>
      <c r="AB5" s="3"/>
      <c r="AC5" s="3"/>
      <c r="AD5" s="3"/>
      <c r="AE5" s="3"/>
      <c r="AF5" s="3"/>
      <c r="AG5" s="3"/>
      <c r="AH5" s="3"/>
    </row>
    <row r="6" customFormat="false" ht="15" hidden="false" customHeight="true" outlineLevel="0" collapsed="false">
      <c r="A6" s="2"/>
      <c r="B6" s="36"/>
      <c r="C6" s="37"/>
      <c r="D6" s="37"/>
      <c r="E6" s="38"/>
      <c r="F6" s="39"/>
      <c r="G6" s="40" t="str">
        <f aca="false">IF(OR($E6="",$C6="",$D6=""),"",$E6*$D6*IFERROR(INDEX(Listas!$C$6:$C$20,MATCH($C6,Listas!$B$6:$B$20,0)),0)-$D6*IFERROR(INDEX(Listas!$D$6:$D$20,MATCH($C6,Listas!$B$6:$B$20,0)),0))</f>
        <v/>
      </c>
      <c r="H6" s="41" t="str">
        <f aca="false">IF(OR($F6="",$C6="",$D6=""),"",ABS($F6)*$D6*IFERROR(INDEX(Listas!$C$6:$C$20,MATCH($C6,Listas!$B$6:$B$20,0)),0))</f>
        <v/>
      </c>
      <c r="I6" s="42" t="str">
        <f aca="false">IF(OR($E6="",$F6="",$F6=0),"",$E6/ABS($F6))</f>
        <v/>
      </c>
      <c r="J6" s="43" t="str">
        <f aca="false">IF($B6="","",INDEX(Listas!$G$6:$G$12,WEEKDAY($B6,1)))</f>
        <v/>
      </c>
      <c r="K6" s="43" t="str">
        <f aca="false">IFERROR(IF($L6="","",TEXT(IF($L6&lt;1,HOUR($L6),INT($L6)),"00")&amp;":00"),"")</f>
        <v/>
      </c>
      <c r="L6" s="44"/>
      <c r="M6" s="45"/>
      <c r="N6" s="46"/>
      <c r="O6" s="45"/>
      <c r="P6" s="2"/>
      <c r="Q6" s="2"/>
      <c r="R6" s="2"/>
      <c r="S6" s="2"/>
      <c r="T6" s="2"/>
      <c r="U6" s="47" t="str">
        <f aca="false">IF($G6="","",IF($G6&lt;0,IF(N($U5)=0,1,$U5+1),0))</f>
        <v/>
      </c>
      <c r="V6" s="47" t="str">
        <f aca="false">IF($G6="","",IF($V5="",'Empieza aquí'!$D$8,$V5)+$G6)</f>
        <v/>
      </c>
      <c r="W6" s="47" t="str">
        <f aca="false">IF($V6="","",MAX(IF($W5="",'Empieza aquí'!$D$8,$W5),$V6))</f>
        <v/>
      </c>
      <c r="X6" s="47" t="str">
        <f aca="false">IF($V6="","",$V6-$W6)</f>
        <v/>
      </c>
      <c r="Y6" s="3"/>
      <c r="Z6" s="3"/>
      <c r="AA6" s="3"/>
      <c r="AB6" s="3"/>
      <c r="AC6" s="3"/>
      <c r="AD6" s="3"/>
      <c r="AE6" s="3"/>
      <c r="AF6" s="3"/>
      <c r="AG6" s="3"/>
      <c r="AH6" s="3"/>
    </row>
    <row r="7" customFormat="false" ht="15" hidden="false" customHeight="true" outlineLevel="0" collapsed="false">
      <c r="A7" s="2"/>
      <c r="B7" s="36"/>
      <c r="C7" s="37"/>
      <c r="D7" s="37"/>
      <c r="E7" s="38"/>
      <c r="F7" s="39"/>
      <c r="G7" s="40" t="str">
        <f aca="false">IF(OR($E7="",$C7="",$D7=""),"",$E7*$D7*IFERROR(INDEX(Listas!$C$6:$C$20,MATCH($C7,Listas!$B$6:$B$20,0)),0)-$D7*IFERROR(INDEX(Listas!$D$6:$D$20,MATCH($C7,Listas!$B$6:$B$20,0)),0))</f>
        <v/>
      </c>
      <c r="H7" s="41" t="str">
        <f aca="false">IF(OR($F7="",$C7="",$D7=""),"",ABS($F7)*$D7*IFERROR(INDEX(Listas!$C$6:$C$20,MATCH($C7,Listas!$B$6:$B$20,0)),0))</f>
        <v/>
      </c>
      <c r="I7" s="42" t="str">
        <f aca="false">IF(OR($E7="",$F7="",$F7=0),"",$E7/ABS($F7))</f>
        <v/>
      </c>
      <c r="J7" s="43" t="str">
        <f aca="false">IF($B7="","",INDEX(Listas!$G$6:$G$12,WEEKDAY($B7,1)))</f>
        <v/>
      </c>
      <c r="K7" s="43" t="str">
        <f aca="false">IFERROR(IF($L7="","",TEXT(IF($L7&lt;1,HOUR($L7),INT($L7)),"00")&amp;":00"),"")</f>
        <v/>
      </c>
      <c r="L7" s="44"/>
      <c r="M7" s="45"/>
      <c r="N7" s="46"/>
      <c r="O7" s="45"/>
      <c r="P7" s="2"/>
      <c r="Q7" s="2"/>
      <c r="R7" s="2"/>
      <c r="S7" s="2"/>
      <c r="T7" s="2"/>
      <c r="U7" s="47" t="str">
        <f aca="false">IF($G7="","",IF($G7&lt;0,IF(N($U6)=0,1,$U6+1),0))</f>
        <v/>
      </c>
      <c r="V7" s="47" t="str">
        <f aca="false">IF($G7="","",IF($V6="",'Empieza aquí'!$D$8,$V6)+$G7)</f>
        <v/>
      </c>
      <c r="W7" s="47" t="str">
        <f aca="false">IF($V7="","",MAX(IF($W6="",'Empieza aquí'!$D$8,$W6),$V7))</f>
        <v/>
      </c>
      <c r="X7" s="47" t="str">
        <f aca="false">IF($V7="","",$V7-$W7)</f>
        <v/>
      </c>
      <c r="Y7" s="3"/>
      <c r="Z7" s="3"/>
      <c r="AA7" s="3"/>
      <c r="AB7" s="3"/>
      <c r="AC7" s="3"/>
      <c r="AD7" s="3"/>
      <c r="AE7" s="3"/>
      <c r="AF7" s="3"/>
      <c r="AG7" s="3"/>
      <c r="AH7" s="3"/>
    </row>
    <row r="8" customFormat="false" ht="15" hidden="false" customHeight="true" outlineLevel="0" collapsed="false">
      <c r="A8" s="2"/>
      <c r="B8" s="36"/>
      <c r="C8" s="37"/>
      <c r="D8" s="37"/>
      <c r="E8" s="38"/>
      <c r="F8" s="39"/>
      <c r="G8" s="40" t="str">
        <f aca="false">IF(OR($E8="",$C8="",$D8=""),"",$E8*$D8*IFERROR(INDEX(Listas!$C$6:$C$20,MATCH($C8,Listas!$B$6:$B$20,0)),0)-$D8*IFERROR(INDEX(Listas!$D$6:$D$20,MATCH($C8,Listas!$B$6:$B$20,0)),0))</f>
        <v/>
      </c>
      <c r="H8" s="41" t="str">
        <f aca="false">IF(OR($F8="",$C8="",$D8=""),"",ABS($F8)*$D8*IFERROR(INDEX(Listas!$C$6:$C$20,MATCH($C8,Listas!$B$6:$B$20,0)),0))</f>
        <v/>
      </c>
      <c r="I8" s="42" t="str">
        <f aca="false">IF(OR($E8="",$F8="",$F8=0),"",$E8/ABS($F8))</f>
        <v/>
      </c>
      <c r="J8" s="43" t="str">
        <f aca="false">IF($B8="","",INDEX(Listas!$G$6:$G$12,WEEKDAY($B8,1)))</f>
        <v/>
      </c>
      <c r="K8" s="43" t="str">
        <f aca="false">IFERROR(IF($L8="","",TEXT(IF($L8&lt;1,HOUR($L8),INT($L8)),"00")&amp;":00"),"")</f>
        <v/>
      </c>
      <c r="L8" s="44"/>
      <c r="M8" s="45"/>
      <c r="N8" s="46"/>
      <c r="O8" s="45"/>
      <c r="P8" s="2"/>
      <c r="Q8" s="2"/>
      <c r="R8" s="2"/>
      <c r="S8" s="2"/>
      <c r="T8" s="2"/>
      <c r="U8" s="47" t="str">
        <f aca="false">IF($G8="","",IF($G8&lt;0,IF(N($U7)=0,1,$U7+1),0))</f>
        <v/>
      </c>
      <c r="V8" s="47" t="str">
        <f aca="false">IF($G8="","",IF($V7="",'Empieza aquí'!$D$8,$V7)+$G8)</f>
        <v/>
      </c>
      <c r="W8" s="47" t="str">
        <f aca="false">IF($V8="","",MAX(IF($W7="",'Empieza aquí'!$D$8,$W7),$V8))</f>
        <v/>
      </c>
      <c r="X8" s="47" t="str">
        <f aca="false">IF($V8="","",$V8-$W8)</f>
        <v/>
      </c>
      <c r="Y8" s="3"/>
      <c r="Z8" s="3"/>
      <c r="AA8" s="3"/>
      <c r="AB8" s="3"/>
      <c r="AC8" s="3"/>
      <c r="AD8" s="3"/>
      <c r="AE8" s="3"/>
      <c r="AF8" s="3"/>
      <c r="AG8" s="3"/>
      <c r="AH8" s="3"/>
    </row>
    <row r="9" customFormat="false" ht="15" hidden="false" customHeight="true" outlineLevel="0" collapsed="false">
      <c r="A9" s="2"/>
      <c r="B9" s="36"/>
      <c r="C9" s="37"/>
      <c r="D9" s="37"/>
      <c r="E9" s="38"/>
      <c r="F9" s="39"/>
      <c r="G9" s="40" t="str">
        <f aca="false">IF(OR($E9="",$C9="",$D9=""),"",$E9*$D9*IFERROR(INDEX(Listas!$C$6:$C$20,MATCH($C9,Listas!$B$6:$B$20,0)),0)-$D9*IFERROR(INDEX(Listas!$D$6:$D$20,MATCH($C9,Listas!$B$6:$B$20,0)),0))</f>
        <v/>
      </c>
      <c r="H9" s="41" t="str">
        <f aca="false">IF(OR($F9="",$C9="",$D9=""),"",ABS($F9)*$D9*IFERROR(INDEX(Listas!$C$6:$C$20,MATCH($C9,Listas!$B$6:$B$20,0)),0))</f>
        <v/>
      </c>
      <c r="I9" s="42" t="str">
        <f aca="false">IF(OR($E9="",$F9="",$F9=0),"",$E9/ABS($F9))</f>
        <v/>
      </c>
      <c r="J9" s="43" t="str">
        <f aca="false">IF($B9="","",INDEX(Listas!$G$6:$G$12,WEEKDAY($B9,1)))</f>
        <v/>
      </c>
      <c r="K9" s="43" t="str">
        <f aca="false">IFERROR(IF($L9="","",TEXT(IF($L9&lt;1,HOUR($L9),INT($L9)),"00")&amp;":00"),"")</f>
        <v/>
      </c>
      <c r="L9" s="44"/>
      <c r="M9" s="45"/>
      <c r="N9" s="46"/>
      <c r="O9" s="45"/>
      <c r="P9" s="2"/>
      <c r="Q9" s="2"/>
      <c r="R9" s="2"/>
      <c r="S9" s="2"/>
      <c r="T9" s="2"/>
      <c r="U9" s="47" t="str">
        <f aca="false">IF($G9="","",IF($G9&lt;0,IF(N($U8)=0,1,$U8+1),0))</f>
        <v/>
      </c>
      <c r="V9" s="47" t="str">
        <f aca="false">IF($G9="","",IF($V8="",'Empieza aquí'!$D$8,$V8)+$G9)</f>
        <v/>
      </c>
      <c r="W9" s="47" t="str">
        <f aca="false">IF($V9="","",MAX(IF($W8="",'Empieza aquí'!$D$8,$W8),$V9))</f>
        <v/>
      </c>
      <c r="X9" s="47" t="str">
        <f aca="false">IF($V9="","",$V9-$W9)</f>
        <v/>
      </c>
      <c r="Y9" s="3"/>
      <c r="Z9" s="3"/>
      <c r="AA9" s="3"/>
      <c r="AB9" s="3"/>
      <c r="AC9" s="3"/>
      <c r="AD9" s="3"/>
      <c r="AE9" s="3"/>
      <c r="AF9" s="3"/>
      <c r="AG9" s="3"/>
      <c r="AH9" s="3"/>
    </row>
    <row r="10" customFormat="false" ht="15" hidden="false" customHeight="true" outlineLevel="0" collapsed="false">
      <c r="A10" s="2"/>
      <c r="B10" s="36"/>
      <c r="C10" s="37"/>
      <c r="D10" s="37"/>
      <c r="E10" s="38"/>
      <c r="F10" s="39"/>
      <c r="G10" s="40" t="str">
        <f aca="false">IF(OR($E10="",$C10="",$D10=""),"",$E10*$D10*IFERROR(INDEX(Listas!$C$6:$C$20,MATCH($C10,Listas!$B$6:$B$20,0)),0)-$D10*IFERROR(INDEX(Listas!$D$6:$D$20,MATCH($C10,Listas!$B$6:$B$20,0)),0))</f>
        <v/>
      </c>
      <c r="H10" s="41" t="str">
        <f aca="false">IF(OR($F10="",$C10="",$D10=""),"",ABS($F10)*$D10*IFERROR(INDEX(Listas!$C$6:$C$20,MATCH($C10,Listas!$B$6:$B$20,0)),0))</f>
        <v/>
      </c>
      <c r="I10" s="42" t="str">
        <f aca="false">IF(OR($E10="",$F10="",$F10=0),"",$E10/ABS($F10))</f>
        <v/>
      </c>
      <c r="J10" s="43" t="str">
        <f aca="false">IF($B10="","",INDEX(Listas!$G$6:$G$12,WEEKDAY($B10,1)))</f>
        <v/>
      </c>
      <c r="K10" s="43" t="str">
        <f aca="false">IFERROR(IF($L10="","",TEXT(IF($L10&lt;1,HOUR($L10),INT($L10)),"00")&amp;":00"),"")</f>
        <v/>
      </c>
      <c r="L10" s="44"/>
      <c r="M10" s="45"/>
      <c r="N10" s="46"/>
      <c r="O10" s="45"/>
      <c r="P10" s="2"/>
      <c r="Q10" s="2"/>
      <c r="R10" s="2"/>
      <c r="S10" s="2"/>
      <c r="T10" s="2"/>
      <c r="U10" s="47" t="str">
        <f aca="false">IF($G10="","",IF($G10&lt;0,IF(N($U9)=0,1,$U9+1),0))</f>
        <v/>
      </c>
      <c r="V10" s="47" t="str">
        <f aca="false">IF($G10="","",IF($V9="",'Empieza aquí'!$D$8,$V9)+$G10)</f>
        <v/>
      </c>
      <c r="W10" s="47" t="str">
        <f aca="false">IF($V10="","",MAX(IF($W9="",'Empieza aquí'!$D$8,$W9),$V10))</f>
        <v/>
      </c>
      <c r="X10" s="47" t="str">
        <f aca="false">IF($V10="","",$V10-$W10)</f>
        <v/>
      </c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customFormat="false" ht="15" hidden="false" customHeight="true" outlineLevel="0" collapsed="false">
      <c r="A11" s="2"/>
      <c r="B11" s="36"/>
      <c r="C11" s="37"/>
      <c r="D11" s="37"/>
      <c r="E11" s="38"/>
      <c r="F11" s="39"/>
      <c r="G11" s="40" t="str">
        <f aca="false">IF(OR($E11="",$C11="",$D11=""),"",$E11*$D11*IFERROR(INDEX(Listas!$C$6:$C$20,MATCH($C11,Listas!$B$6:$B$20,0)),0)-$D11*IFERROR(INDEX(Listas!$D$6:$D$20,MATCH($C11,Listas!$B$6:$B$20,0)),0))</f>
        <v/>
      </c>
      <c r="H11" s="41" t="str">
        <f aca="false">IF(OR($F11="",$C11="",$D11=""),"",ABS($F11)*$D11*IFERROR(INDEX(Listas!$C$6:$C$20,MATCH($C11,Listas!$B$6:$B$20,0)),0))</f>
        <v/>
      </c>
      <c r="I11" s="42" t="str">
        <f aca="false">IF(OR($E11="",$F11="",$F11=0),"",$E11/ABS($F11))</f>
        <v/>
      </c>
      <c r="J11" s="43" t="str">
        <f aca="false">IF($B11="","",INDEX(Listas!$G$6:$G$12,WEEKDAY($B11,1)))</f>
        <v/>
      </c>
      <c r="K11" s="43" t="str">
        <f aca="false">IFERROR(IF($L11="","",TEXT(IF($L11&lt;1,HOUR($L11),INT($L11)),"00")&amp;":00"),"")</f>
        <v/>
      </c>
      <c r="L11" s="44"/>
      <c r="M11" s="45"/>
      <c r="N11" s="46"/>
      <c r="O11" s="45"/>
      <c r="P11" s="2"/>
      <c r="Q11" s="2"/>
      <c r="R11" s="2"/>
      <c r="S11" s="2"/>
      <c r="T11" s="2"/>
      <c r="U11" s="47" t="str">
        <f aca="false">IF($G11="","",IF($G11&lt;0,IF(N($U10)=0,1,$U10+1),0))</f>
        <v/>
      </c>
      <c r="V11" s="47" t="str">
        <f aca="false">IF($G11="","",IF($V10="",'Empieza aquí'!$D$8,$V10)+$G11)</f>
        <v/>
      </c>
      <c r="W11" s="47" t="str">
        <f aca="false">IF($V11="","",MAX(IF($W10="",'Empieza aquí'!$D$8,$W10),$V11))</f>
        <v/>
      </c>
      <c r="X11" s="47" t="str">
        <f aca="false">IF($V11="","",$V11-$W11)</f>
        <v/>
      </c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customFormat="false" ht="15" hidden="false" customHeight="true" outlineLevel="0" collapsed="false">
      <c r="A12" s="2"/>
      <c r="B12" s="36"/>
      <c r="C12" s="37"/>
      <c r="D12" s="37"/>
      <c r="E12" s="38"/>
      <c r="F12" s="39"/>
      <c r="G12" s="40" t="str">
        <f aca="false">IF(OR($E12="",$C12="",$D12=""),"",$E12*$D12*IFERROR(INDEX(Listas!$C$6:$C$20,MATCH($C12,Listas!$B$6:$B$20,0)),0)-$D12*IFERROR(INDEX(Listas!$D$6:$D$20,MATCH($C12,Listas!$B$6:$B$20,0)),0))</f>
        <v/>
      </c>
      <c r="H12" s="41" t="str">
        <f aca="false">IF(OR($F12="",$C12="",$D12=""),"",ABS($F12)*$D12*IFERROR(INDEX(Listas!$C$6:$C$20,MATCH($C12,Listas!$B$6:$B$20,0)),0))</f>
        <v/>
      </c>
      <c r="I12" s="42" t="str">
        <f aca="false">IF(OR($E12="",$F12="",$F12=0),"",$E12/ABS($F12))</f>
        <v/>
      </c>
      <c r="J12" s="43" t="str">
        <f aca="false">IF($B12="","",INDEX(Listas!$G$6:$G$12,WEEKDAY($B12,1)))</f>
        <v/>
      </c>
      <c r="K12" s="43" t="str">
        <f aca="false">IFERROR(IF($L12="","",TEXT(IF($L12&lt;1,HOUR($L12),INT($L12)),"00")&amp;":00"),"")</f>
        <v/>
      </c>
      <c r="L12" s="44"/>
      <c r="M12" s="45"/>
      <c r="N12" s="46"/>
      <c r="O12" s="45"/>
      <c r="P12" s="2"/>
      <c r="Q12" s="2"/>
      <c r="R12" s="2"/>
      <c r="S12" s="2"/>
      <c r="T12" s="2"/>
      <c r="U12" s="47" t="str">
        <f aca="false">IF($G12="","",IF($G12&lt;0,IF(N($U11)=0,1,$U11+1),0))</f>
        <v/>
      </c>
      <c r="V12" s="47" t="str">
        <f aca="false">IF($G12="","",IF($V11="",'Empieza aquí'!$D$8,$V11)+$G12)</f>
        <v/>
      </c>
      <c r="W12" s="47" t="str">
        <f aca="false">IF($V12="","",MAX(IF($W11="",'Empieza aquí'!$D$8,$W11),$V12))</f>
        <v/>
      </c>
      <c r="X12" s="47" t="str">
        <f aca="false">IF($V12="","",$V12-$W12)</f>
        <v/>
      </c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customFormat="false" ht="15" hidden="false" customHeight="true" outlineLevel="0" collapsed="false">
      <c r="A13" s="2"/>
      <c r="B13" s="36"/>
      <c r="C13" s="37"/>
      <c r="D13" s="37"/>
      <c r="E13" s="38"/>
      <c r="F13" s="39"/>
      <c r="G13" s="40" t="str">
        <f aca="false">IF(OR($E13="",$C13="",$D13=""),"",$E13*$D13*IFERROR(INDEX(Listas!$C$6:$C$20,MATCH($C13,Listas!$B$6:$B$20,0)),0)-$D13*IFERROR(INDEX(Listas!$D$6:$D$20,MATCH($C13,Listas!$B$6:$B$20,0)),0))</f>
        <v/>
      </c>
      <c r="H13" s="41" t="str">
        <f aca="false">IF(OR($F13="",$C13="",$D13=""),"",ABS($F13)*$D13*IFERROR(INDEX(Listas!$C$6:$C$20,MATCH($C13,Listas!$B$6:$B$20,0)),0))</f>
        <v/>
      </c>
      <c r="I13" s="42" t="str">
        <f aca="false">IF(OR($E13="",$F13="",$F13=0),"",$E13/ABS($F13))</f>
        <v/>
      </c>
      <c r="J13" s="43" t="str">
        <f aca="false">IF($B13="","",INDEX(Listas!$G$6:$G$12,WEEKDAY($B13,1)))</f>
        <v/>
      </c>
      <c r="K13" s="43" t="str">
        <f aca="false">IFERROR(IF($L13="","",TEXT(IF($L13&lt;1,HOUR($L13),INT($L13)),"00")&amp;":00"),"")</f>
        <v/>
      </c>
      <c r="L13" s="44"/>
      <c r="M13" s="45"/>
      <c r="N13" s="46"/>
      <c r="O13" s="45"/>
      <c r="P13" s="2"/>
      <c r="Q13" s="2"/>
      <c r="R13" s="2"/>
      <c r="S13" s="2"/>
      <c r="T13" s="2"/>
      <c r="U13" s="47" t="str">
        <f aca="false">IF($G13="","",IF($G13&lt;0,IF(N($U12)=0,1,$U12+1),0))</f>
        <v/>
      </c>
      <c r="V13" s="47" t="str">
        <f aca="false">IF($G13="","",IF($V12="",'Empieza aquí'!$D$8,$V12)+$G13)</f>
        <v/>
      </c>
      <c r="W13" s="47" t="str">
        <f aca="false">IF($V13="","",MAX(IF($W12="",'Empieza aquí'!$D$8,$W12),$V13))</f>
        <v/>
      </c>
      <c r="X13" s="47" t="str">
        <f aca="false">IF($V13="","",$V13-$W13)</f>
        <v/>
      </c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customFormat="false" ht="15" hidden="false" customHeight="true" outlineLevel="0" collapsed="false">
      <c r="A14" s="2"/>
      <c r="B14" s="36"/>
      <c r="C14" s="37"/>
      <c r="D14" s="37"/>
      <c r="E14" s="38"/>
      <c r="F14" s="39"/>
      <c r="G14" s="40" t="str">
        <f aca="false">IF(OR($E14="",$C14="",$D14=""),"",$E14*$D14*IFERROR(INDEX(Listas!$C$6:$C$20,MATCH($C14,Listas!$B$6:$B$20,0)),0)-$D14*IFERROR(INDEX(Listas!$D$6:$D$20,MATCH($C14,Listas!$B$6:$B$20,0)),0))</f>
        <v/>
      </c>
      <c r="H14" s="41" t="str">
        <f aca="false">IF(OR($F14="",$C14="",$D14=""),"",ABS($F14)*$D14*IFERROR(INDEX(Listas!$C$6:$C$20,MATCH($C14,Listas!$B$6:$B$20,0)),0))</f>
        <v/>
      </c>
      <c r="I14" s="42" t="str">
        <f aca="false">IF(OR($E14="",$F14="",$F14=0),"",$E14/ABS($F14))</f>
        <v/>
      </c>
      <c r="J14" s="43" t="str">
        <f aca="false">IF($B14="","",INDEX(Listas!$G$6:$G$12,WEEKDAY($B14,1)))</f>
        <v/>
      </c>
      <c r="K14" s="43" t="str">
        <f aca="false">IFERROR(IF($L14="","",TEXT(IF($L14&lt;1,HOUR($L14),INT($L14)),"00")&amp;":00"),"")</f>
        <v/>
      </c>
      <c r="L14" s="44"/>
      <c r="M14" s="45"/>
      <c r="N14" s="46"/>
      <c r="O14" s="45"/>
      <c r="P14" s="2"/>
      <c r="Q14" s="2"/>
      <c r="R14" s="2"/>
      <c r="S14" s="2"/>
      <c r="T14" s="2"/>
      <c r="U14" s="47" t="str">
        <f aca="false">IF($G14="","",IF($G14&lt;0,IF(N($U13)=0,1,$U13+1),0))</f>
        <v/>
      </c>
      <c r="V14" s="47" t="str">
        <f aca="false">IF($G14="","",IF($V13="",'Empieza aquí'!$D$8,$V13)+$G14)</f>
        <v/>
      </c>
      <c r="W14" s="47" t="str">
        <f aca="false">IF($V14="","",MAX(IF($W13="",'Empieza aquí'!$D$8,$W13),$V14))</f>
        <v/>
      </c>
      <c r="X14" s="47" t="str">
        <f aca="false">IF($V14="","",$V14-$W14)</f>
        <v/>
      </c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customFormat="false" ht="15" hidden="false" customHeight="true" outlineLevel="0" collapsed="false">
      <c r="A15" s="2"/>
      <c r="B15" s="36"/>
      <c r="C15" s="37"/>
      <c r="D15" s="37"/>
      <c r="E15" s="38"/>
      <c r="F15" s="39"/>
      <c r="G15" s="40" t="str">
        <f aca="false">IF(OR($E15="",$C15="",$D15=""),"",$E15*$D15*IFERROR(INDEX(Listas!$C$6:$C$20,MATCH($C15,Listas!$B$6:$B$20,0)),0)-$D15*IFERROR(INDEX(Listas!$D$6:$D$20,MATCH($C15,Listas!$B$6:$B$20,0)),0))</f>
        <v/>
      </c>
      <c r="H15" s="41" t="str">
        <f aca="false">IF(OR($F15="",$C15="",$D15=""),"",ABS($F15)*$D15*IFERROR(INDEX(Listas!$C$6:$C$20,MATCH($C15,Listas!$B$6:$B$20,0)),0))</f>
        <v/>
      </c>
      <c r="I15" s="42" t="str">
        <f aca="false">IF(OR($E15="",$F15="",$F15=0),"",$E15/ABS($F15))</f>
        <v/>
      </c>
      <c r="J15" s="43" t="str">
        <f aca="false">IF($B15="","",INDEX(Listas!$G$6:$G$12,WEEKDAY($B15,1)))</f>
        <v/>
      </c>
      <c r="K15" s="43" t="str">
        <f aca="false">IFERROR(IF($L15="","",TEXT(IF($L15&lt;1,HOUR($L15),INT($L15)),"00")&amp;":00"),"")</f>
        <v/>
      </c>
      <c r="L15" s="44"/>
      <c r="M15" s="45"/>
      <c r="N15" s="46"/>
      <c r="O15" s="45"/>
      <c r="P15" s="2"/>
      <c r="Q15" s="2"/>
      <c r="R15" s="2"/>
      <c r="S15" s="2"/>
      <c r="T15" s="2"/>
      <c r="U15" s="47" t="str">
        <f aca="false">IF($G15="","",IF($G15&lt;0,IF(N($U14)=0,1,$U14+1),0))</f>
        <v/>
      </c>
      <c r="V15" s="47" t="str">
        <f aca="false">IF($G15="","",IF($V14="",'Empieza aquí'!$D$8,$V14)+$G15)</f>
        <v/>
      </c>
      <c r="W15" s="47" t="str">
        <f aca="false">IF($V15="","",MAX(IF($W14="",'Empieza aquí'!$D$8,$W14),$V15))</f>
        <v/>
      </c>
      <c r="X15" s="47" t="str">
        <f aca="false">IF($V15="","",$V15-$W15)</f>
        <v/>
      </c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customFormat="false" ht="15" hidden="false" customHeight="true" outlineLevel="0" collapsed="false">
      <c r="A16" s="2"/>
      <c r="B16" s="36"/>
      <c r="C16" s="37"/>
      <c r="D16" s="37"/>
      <c r="E16" s="38"/>
      <c r="F16" s="39"/>
      <c r="G16" s="40" t="str">
        <f aca="false">IF(OR($E16="",$C16="",$D16=""),"",$E16*$D16*IFERROR(INDEX(Listas!$C$6:$C$20,MATCH($C16,Listas!$B$6:$B$20,0)),0)-$D16*IFERROR(INDEX(Listas!$D$6:$D$20,MATCH($C16,Listas!$B$6:$B$20,0)),0))</f>
        <v/>
      </c>
      <c r="H16" s="41" t="str">
        <f aca="false">IF(OR($F16="",$C16="",$D16=""),"",ABS($F16)*$D16*IFERROR(INDEX(Listas!$C$6:$C$20,MATCH($C16,Listas!$B$6:$B$20,0)),0))</f>
        <v/>
      </c>
      <c r="I16" s="42" t="str">
        <f aca="false">IF(OR($E16="",$F16="",$F16=0),"",$E16/ABS($F16))</f>
        <v/>
      </c>
      <c r="J16" s="43" t="str">
        <f aca="false">IF($B16="","",INDEX(Listas!$G$6:$G$12,WEEKDAY($B16,1)))</f>
        <v/>
      </c>
      <c r="K16" s="43" t="str">
        <f aca="false">IFERROR(IF($L16="","",TEXT(IF($L16&lt;1,HOUR($L16),INT($L16)),"00")&amp;":00"),"")</f>
        <v/>
      </c>
      <c r="L16" s="44"/>
      <c r="M16" s="45"/>
      <c r="N16" s="46"/>
      <c r="O16" s="45"/>
      <c r="P16" s="2"/>
      <c r="Q16" s="2"/>
      <c r="R16" s="2"/>
      <c r="S16" s="2"/>
      <c r="T16" s="2"/>
      <c r="U16" s="47" t="str">
        <f aca="false">IF($G16="","",IF($G16&lt;0,IF(N($U15)=0,1,$U15+1),0))</f>
        <v/>
      </c>
      <c r="V16" s="47" t="str">
        <f aca="false">IF($G16="","",IF($V15="",'Empieza aquí'!$D$8,$V15)+$G16)</f>
        <v/>
      </c>
      <c r="W16" s="47" t="str">
        <f aca="false">IF($V16="","",MAX(IF($W15="",'Empieza aquí'!$D$8,$W15),$V16))</f>
        <v/>
      </c>
      <c r="X16" s="47" t="str">
        <f aca="false">IF($V16="","",$V16-$W16)</f>
        <v/>
      </c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customFormat="false" ht="15" hidden="false" customHeight="true" outlineLevel="0" collapsed="false">
      <c r="A17" s="2"/>
      <c r="B17" s="36"/>
      <c r="C17" s="37"/>
      <c r="D17" s="37"/>
      <c r="E17" s="38"/>
      <c r="F17" s="39"/>
      <c r="G17" s="40" t="str">
        <f aca="false">IF(OR($E17="",$C17="",$D17=""),"",$E17*$D17*IFERROR(INDEX(Listas!$C$6:$C$20,MATCH($C17,Listas!$B$6:$B$20,0)),0)-$D17*IFERROR(INDEX(Listas!$D$6:$D$20,MATCH($C17,Listas!$B$6:$B$20,0)),0))</f>
        <v/>
      </c>
      <c r="H17" s="41" t="str">
        <f aca="false">IF(OR($F17="",$C17="",$D17=""),"",ABS($F17)*$D17*IFERROR(INDEX(Listas!$C$6:$C$20,MATCH($C17,Listas!$B$6:$B$20,0)),0))</f>
        <v/>
      </c>
      <c r="I17" s="42" t="str">
        <f aca="false">IF(OR($E17="",$F17="",$F17=0),"",$E17/ABS($F17))</f>
        <v/>
      </c>
      <c r="J17" s="43" t="str">
        <f aca="false">IF($B17="","",INDEX(Listas!$G$6:$G$12,WEEKDAY($B17,1)))</f>
        <v/>
      </c>
      <c r="K17" s="43" t="str">
        <f aca="false">IFERROR(IF($L17="","",TEXT(IF($L17&lt;1,HOUR($L17),INT($L17)),"00")&amp;":00"),"")</f>
        <v/>
      </c>
      <c r="L17" s="44"/>
      <c r="M17" s="45"/>
      <c r="N17" s="46"/>
      <c r="O17" s="45"/>
      <c r="P17" s="2"/>
      <c r="Q17" s="2"/>
      <c r="R17" s="2"/>
      <c r="S17" s="2"/>
      <c r="T17" s="2"/>
      <c r="U17" s="47" t="str">
        <f aca="false">IF($G17="","",IF($G17&lt;0,IF(N($U16)=0,1,$U16+1),0))</f>
        <v/>
      </c>
      <c r="V17" s="47" t="str">
        <f aca="false">IF($G17="","",IF($V16="",'Empieza aquí'!$D$8,$V16)+$G17)</f>
        <v/>
      </c>
      <c r="W17" s="47" t="str">
        <f aca="false">IF($V17="","",MAX(IF($W16="",'Empieza aquí'!$D$8,$W16),$V17))</f>
        <v/>
      </c>
      <c r="X17" s="47" t="str">
        <f aca="false">IF($V17="","",$V17-$W17)</f>
        <v/>
      </c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customFormat="false" ht="15" hidden="false" customHeight="true" outlineLevel="0" collapsed="false">
      <c r="A18" s="2"/>
      <c r="B18" s="36"/>
      <c r="C18" s="37"/>
      <c r="D18" s="37"/>
      <c r="E18" s="38"/>
      <c r="F18" s="39"/>
      <c r="G18" s="40" t="str">
        <f aca="false">IF(OR($E18="",$C18="",$D18=""),"",$E18*$D18*IFERROR(INDEX(Listas!$C$6:$C$20,MATCH($C18,Listas!$B$6:$B$20,0)),0)-$D18*IFERROR(INDEX(Listas!$D$6:$D$20,MATCH($C18,Listas!$B$6:$B$20,0)),0))</f>
        <v/>
      </c>
      <c r="H18" s="41" t="str">
        <f aca="false">IF(OR($F18="",$C18="",$D18=""),"",ABS($F18)*$D18*IFERROR(INDEX(Listas!$C$6:$C$20,MATCH($C18,Listas!$B$6:$B$20,0)),0))</f>
        <v/>
      </c>
      <c r="I18" s="42" t="str">
        <f aca="false">IF(OR($E18="",$F18="",$F18=0),"",$E18/ABS($F18))</f>
        <v/>
      </c>
      <c r="J18" s="43" t="str">
        <f aca="false">IF($B18="","",INDEX(Listas!$G$6:$G$12,WEEKDAY($B18,1)))</f>
        <v/>
      </c>
      <c r="K18" s="43" t="str">
        <f aca="false">IFERROR(IF($L18="","",TEXT(IF($L18&lt;1,HOUR($L18),INT($L18)),"00")&amp;":00"),"")</f>
        <v/>
      </c>
      <c r="L18" s="44"/>
      <c r="M18" s="45"/>
      <c r="N18" s="46"/>
      <c r="O18" s="45"/>
      <c r="P18" s="2"/>
      <c r="Q18" s="2"/>
      <c r="R18" s="2"/>
      <c r="S18" s="2"/>
      <c r="T18" s="2"/>
      <c r="U18" s="47" t="str">
        <f aca="false">IF($G18="","",IF($G18&lt;0,IF(N($U17)=0,1,$U17+1),0))</f>
        <v/>
      </c>
      <c r="V18" s="47" t="str">
        <f aca="false">IF($G18="","",IF($V17="",'Empieza aquí'!$D$8,$V17)+$G18)</f>
        <v/>
      </c>
      <c r="W18" s="47" t="str">
        <f aca="false">IF($V18="","",MAX(IF($W17="",'Empieza aquí'!$D$8,$W17),$V18))</f>
        <v/>
      </c>
      <c r="X18" s="47" t="str">
        <f aca="false">IF($V18="","",$V18-$W18)</f>
        <v/>
      </c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customFormat="false" ht="15" hidden="false" customHeight="true" outlineLevel="0" collapsed="false">
      <c r="A19" s="2"/>
      <c r="B19" s="36"/>
      <c r="C19" s="37"/>
      <c r="D19" s="37"/>
      <c r="E19" s="38"/>
      <c r="F19" s="39"/>
      <c r="G19" s="40" t="str">
        <f aca="false">IF(OR($E19="",$C19="",$D19=""),"",$E19*$D19*IFERROR(INDEX(Listas!$C$6:$C$20,MATCH($C19,Listas!$B$6:$B$20,0)),0)-$D19*IFERROR(INDEX(Listas!$D$6:$D$20,MATCH($C19,Listas!$B$6:$B$20,0)),0))</f>
        <v/>
      </c>
      <c r="H19" s="41" t="str">
        <f aca="false">IF(OR($F19="",$C19="",$D19=""),"",ABS($F19)*$D19*IFERROR(INDEX(Listas!$C$6:$C$20,MATCH($C19,Listas!$B$6:$B$20,0)),0))</f>
        <v/>
      </c>
      <c r="I19" s="42" t="str">
        <f aca="false">IF(OR($E19="",$F19="",$F19=0),"",$E19/ABS($F19))</f>
        <v/>
      </c>
      <c r="J19" s="43" t="str">
        <f aca="false">IF($B19="","",INDEX(Listas!$G$6:$G$12,WEEKDAY($B19,1)))</f>
        <v/>
      </c>
      <c r="K19" s="43" t="str">
        <f aca="false">IFERROR(IF($L19="","",TEXT(IF($L19&lt;1,HOUR($L19),INT($L19)),"00")&amp;":00"),"")</f>
        <v/>
      </c>
      <c r="L19" s="44"/>
      <c r="M19" s="45"/>
      <c r="N19" s="46"/>
      <c r="O19" s="45"/>
      <c r="P19" s="2"/>
      <c r="Q19" s="2"/>
      <c r="R19" s="2"/>
      <c r="S19" s="2"/>
      <c r="T19" s="2"/>
      <c r="U19" s="47" t="str">
        <f aca="false">IF($G19="","",IF($G19&lt;0,IF(N($U18)=0,1,$U18+1),0))</f>
        <v/>
      </c>
      <c r="V19" s="47" t="str">
        <f aca="false">IF($G19="","",IF($V18="",'Empieza aquí'!$D$8,$V18)+$G19)</f>
        <v/>
      </c>
      <c r="W19" s="47" t="str">
        <f aca="false">IF($V19="","",MAX(IF($W18="",'Empieza aquí'!$D$8,$W18),$V19))</f>
        <v/>
      </c>
      <c r="X19" s="47" t="str">
        <f aca="false">IF($V19="","",$V19-$W19)</f>
        <v/>
      </c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customFormat="false" ht="15" hidden="false" customHeight="true" outlineLevel="0" collapsed="false">
      <c r="A20" s="2"/>
      <c r="B20" s="36"/>
      <c r="C20" s="37"/>
      <c r="D20" s="37"/>
      <c r="E20" s="38"/>
      <c r="F20" s="39"/>
      <c r="G20" s="40" t="str">
        <f aca="false">IF(OR($E20="",$C20="",$D20=""),"",$E20*$D20*IFERROR(INDEX(Listas!$C$6:$C$20,MATCH($C20,Listas!$B$6:$B$20,0)),0)-$D20*IFERROR(INDEX(Listas!$D$6:$D$20,MATCH($C20,Listas!$B$6:$B$20,0)),0))</f>
        <v/>
      </c>
      <c r="H20" s="41" t="str">
        <f aca="false">IF(OR($F20="",$C20="",$D20=""),"",ABS($F20)*$D20*IFERROR(INDEX(Listas!$C$6:$C$20,MATCH($C20,Listas!$B$6:$B$20,0)),0))</f>
        <v/>
      </c>
      <c r="I20" s="42" t="str">
        <f aca="false">IF(OR($E20="",$F20="",$F20=0),"",$E20/ABS($F20))</f>
        <v/>
      </c>
      <c r="J20" s="43" t="str">
        <f aca="false">IF($B20="","",INDEX(Listas!$G$6:$G$12,WEEKDAY($B20,1)))</f>
        <v/>
      </c>
      <c r="K20" s="43" t="str">
        <f aca="false">IFERROR(IF($L20="","",TEXT(IF($L20&lt;1,HOUR($L20),INT($L20)),"00")&amp;":00"),"")</f>
        <v/>
      </c>
      <c r="L20" s="44"/>
      <c r="M20" s="45"/>
      <c r="N20" s="46"/>
      <c r="O20" s="45"/>
      <c r="P20" s="2"/>
      <c r="Q20" s="2"/>
      <c r="R20" s="2"/>
      <c r="S20" s="2"/>
      <c r="T20" s="2"/>
      <c r="U20" s="47" t="str">
        <f aca="false">IF($G20="","",IF($G20&lt;0,IF(N($U19)=0,1,$U19+1),0))</f>
        <v/>
      </c>
      <c r="V20" s="47" t="str">
        <f aca="false">IF($G20="","",IF($V19="",'Empieza aquí'!$D$8,$V19)+$G20)</f>
        <v/>
      </c>
      <c r="W20" s="47" t="str">
        <f aca="false">IF($V20="","",MAX(IF($W19="",'Empieza aquí'!$D$8,$W19),$V20))</f>
        <v/>
      </c>
      <c r="X20" s="47" t="str">
        <f aca="false">IF($V20="","",$V20-$W20)</f>
        <v/>
      </c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customFormat="false" ht="15" hidden="false" customHeight="true" outlineLevel="0" collapsed="false">
      <c r="A21" s="2"/>
      <c r="B21" s="36"/>
      <c r="C21" s="37"/>
      <c r="D21" s="37"/>
      <c r="E21" s="38"/>
      <c r="F21" s="39"/>
      <c r="G21" s="40" t="str">
        <f aca="false">IF(OR($E21="",$C21="",$D21=""),"",$E21*$D21*IFERROR(INDEX(Listas!$C$6:$C$20,MATCH($C21,Listas!$B$6:$B$20,0)),0)-$D21*IFERROR(INDEX(Listas!$D$6:$D$20,MATCH($C21,Listas!$B$6:$B$20,0)),0))</f>
        <v/>
      </c>
      <c r="H21" s="41" t="str">
        <f aca="false">IF(OR($F21="",$C21="",$D21=""),"",ABS($F21)*$D21*IFERROR(INDEX(Listas!$C$6:$C$20,MATCH($C21,Listas!$B$6:$B$20,0)),0))</f>
        <v/>
      </c>
      <c r="I21" s="42" t="str">
        <f aca="false">IF(OR($E21="",$F21="",$F21=0),"",$E21/ABS($F21))</f>
        <v/>
      </c>
      <c r="J21" s="43" t="str">
        <f aca="false">IF($B21="","",INDEX(Listas!$G$6:$G$12,WEEKDAY($B21,1)))</f>
        <v/>
      </c>
      <c r="K21" s="43" t="str">
        <f aca="false">IFERROR(IF($L21="","",TEXT(IF($L21&lt;1,HOUR($L21),INT($L21)),"00")&amp;":00"),"")</f>
        <v/>
      </c>
      <c r="L21" s="44"/>
      <c r="M21" s="45"/>
      <c r="N21" s="46"/>
      <c r="O21" s="45"/>
      <c r="P21" s="2"/>
      <c r="Q21" s="2"/>
      <c r="R21" s="2"/>
      <c r="S21" s="2"/>
      <c r="T21" s="2"/>
      <c r="U21" s="47" t="str">
        <f aca="false">IF($G21="","",IF($G21&lt;0,IF(N($U20)=0,1,$U20+1),0))</f>
        <v/>
      </c>
      <c r="V21" s="47" t="str">
        <f aca="false">IF($G21="","",IF($V20="",'Empieza aquí'!$D$8,$V20)+$G21)</f>
        <v/>
      </c>
      <c r="W21" s="47" t="str">
        <f aca="false">IF($V21="","",MAX(IF($W20="",'Empieza aquí'!$D$8,$W20),$V21))</f>
        <v/>
      </c>
      <c r="X21" s="47" t="str">
        <f aca="false">IF($V21="","",$V21-$W21)</f>
        <v/>
      </c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customFormat="false" ht="15" hidden="false" customHeight="true" outlineLevel="0" collapsed="false">
      <c r="A22" s="2"/>
      <c r="B22" s="36"/>
      <c r="C22" s="37"/>
      <c r="D22" s="37"/>
      <c r="E22" s="38"/>
      <c r="F22" s="39"/>
      <c r="G22" s="40" t="str">
        <f aca="false">IF(OR($E22="",$C22="",$D22=""),"",$E22*$D22*IFERROR(INDEX(Listas!$C$6:$C$20,MATCH($C22,Listas!$B$6:$B$20,0)),0)-$D22*IFERROR(INDEX(Listas!$D$6:$D$20,MATCH($C22,Listas!$B$6:$B$20,0)),0))</f>
        <v/>
      </c>
      <c r="H22" s="41" t="str">
        <f aca="false">IF(OR($F22="",$C22="",$D22=""),"",ABS($F22)*$D22*IFERROR(INDEX(Listas!$C$6:$C$20,MATCH($C22,Listas!$B$6:$B$20,0)),0))</f>
        <v/>
      </c>
      <c r="I22" s="42" t="str">
        <f aca="false">IF(OR($E22="",$F22="",$F22=0),"",$E22/ABS($F22))</f>
        <v/>
      </c>
      <c r="J22" s="43" t="str">
        <f aca="false">IF($B22="","",INDEX(Listas!$G$6:$G$12,WEEKDAY($B22,1)))</f>
        <v/>
      </c>
      <c r="K22" s="43" t="str">
        <f aca="false">IFERROR(IF($L22="","",TEXT(IF($L22&lt;1,HOUR($L22),INT($L22)),"00")&amp;":00"),"")</f>
        <v/>
      </c>
      <c r="L22" s="44"/>
      <c r="M22" s="45"/>
      <c r="N22" s="46"/>
      <c r="O22" s="45"/>
      <c r="P22" s="2"/>
      <c r="Q22" s="2"/>
      <c r="R22" s="2"/>
      <c r="S22" s="2"/>
      <c r="T22" s="2"/>
      <c r="U22" s="47" t="str">
        <f aca="false">IF($G22="","",IF($G22&lt;0,IF(N($U21)=0,1,$U21+1),0))</f>
        <v/>
      </c>
      <c r="V22" s="47" t="str">
        <f aca="false">IF($G22="","",IF($V21="",'Empieza aquí'!$D$8,$V21)+$G22)</f>
        <v/>
      </c>
      <c r="W22" s="47" t="str">
        <f aca="false">IF($V22="","",MAX(IF($W21="",'Empieza aquí'!$D$8,$W21),$V22))</f>
        <v/>
      </c>
      <c r="X22" s="47" t="str">
        <f aca="false">IF($V22="","",$V22-$W22)</f>
        <v/>
      </c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customFormat="false" ht="15" hidden="false" customHeight="true" outlineLevel="0" collapsed="false">
      <c r="A23" s="2"/>
      <c r="B23" s="36"/>
      <c r="C23" s="37"/>
      <c r="D23" s="37"/>
      <c r="E23" s="38"/>
      <c r="F23" s="39"/>
      <c r="G23" s="40" t="str">
        <f aca="false">IF(OR($E23="",$C23="",$D23=""),"",$E23*$D23*IFERROR(INDEX(Listas!$C$6:$C$20,MATCH($C23,Listas!$B$6:$B$20,0)),0)-$D23*IFERROR(INDEX(Listas!$D$6:$D$20,MATCH($C23,Listas!$B$6:$B$20,0)),0))</f>
        <v/>
      </c>
      <c r="H23" s="41" t="str">
        <f aca="false">IF(OR($F23="",$C23="",$D23=""),"",ABS($F23)*$D23*IFERROR(INDEX(Listas!$C$6:$C$20,MATCH($C23,Listas!$B$6:$B$20,0)),0))</f>
        <v/>
      </c>
      <c r="I23" s="42" t="str">
        <f aca="false">IF(OR($E23="",$F23="",$F23=0),"",$E23/ABS($F23))</f>
        <v/>
      </c>
      <c r="J23" s="43" t="str">
        <f aca="false">IF($B23="","",INDEX(Listas!$G$6:$G$12,WEEKDAY($B23,1)))</f>
        <v/>
      </c>
      <c r="K23" s="43" t="str">
        <f aca="false">IFERROR(IF($L23="","",TEXT(IF($L23&lt;1,HOUR($L23),INT($L23)),"00")&amp;":00"),"")</f>
        <v/>
      </c>
      <c r="L23" s="44"/>
      <c r="M23" s="45"/>
      <c r="N23" s="46"/>
      <c r="O23" s="45"/>
      <c r="P23" s="2"/>
      <c r="Q23" s="2"/>
      <c r="R23" s="2"/>
      <c r="S23" s="2"/>
      <c r="T23" s="2"/>
      <c r="U23" s="47" t="str">
        <f aca="false">IF($G23="","",IF($G23&lt;0,IF(N($U22)=0,1,$U22+1),0))</f>
        <v/>
      </c>
      <c r="V23" s="47" t="str">
        <f aca="false">IF($G23="","",IF($V22="",'Empieza aquí'!$D$8,$V22)+$G23)</f>
        <v/>
      </c>
      <c r="W23" s="47" t="str">
        <f aca="false">IF($V23="","",MAX(IF($W22="",'Empieza aquí'!$D$8,$W22),$V23))</f>
        <v/>
      </c>
      <c r="X23" s="47" t="str">
        <f aca="false">IF($V23="","",$V23-$W23)</f>
        <v/>
      </c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customFormat="false" ht="15" hidden="false" customHeight="true" outlineLevel="0" collapsed="false">
      <c r="A24" s="2"/>
      <c r="B24" s="36"/>
      <c r="C24" s="37"/>
      <c r="D24" s="37"/>
      <c r="E24" s="38"/>
      <c r="F24" s="39"/>
      <c r="G24" s="40" t="str">
        <f aca="false">IF(OR($E24="",$C24="",$D24=""),"",$E24*$D24*IFERROR(INDEX(Listas!$C$6:$C$20,MATCH($C24,Listas!$B$6:$B$20,0)),0)-$D24*IFERROR(INDEX(Listas!$D$6:$D$20,MATCH($C24,Listas!$B$6:$B$20,0)),0))</f>
        <v/>
      </c>
      <c r="H24" s="41" t="str">
        <f aca="false">IF(OR($F24="",$C24="",$D24=""),"",ABS($F24)*$D24*IFERROR(INDEX(Listas!$C$6:$C$20,MATCH($C24,Listas!$B$6:$B$20,0)),0))</f>
        <v/>
      </c>
      <c r="I24" s="42" t="str">
        <f aca="false">IF(OR($E24="",$F24="",$F24=0),"",$E24/ABS($F24))</f>
        <v/>
      </c>
      <c r="J24" s="43" t="str">
        <f aca="false">IF($B24="","",INDEX(Listas!$G$6:$G$12,WEEKDAY($B24,1)))</f>
        <v/>
      </c>
      <c r="K24" s="43" t="str">
        <f aca="false">IFERROR(IF($L24="","",TEXT(IF($L24&lt;1,HOUR($L24),INT($L24)),"00")&amp;":00"),"")</f>
        <v/>
      </c>
      <c r="L24" s="44"/>
      <c r="M24" s="45"/>
      <c r="N24" s="46"/>
      <c r="O24" s="45"/>
      <c r="P24" s="2"/>
      <c r="Q24" s="2"/>
      <c r="R24" s="2"/>
      <c r="S24" s="2"/>
      <c r="T24" s="2"/>
      <c r="U24" s="47" t="str">
        <f aca="false">IF($G24="","",IF($G24&lt;0,IF(N($U23)=0,1,$U23+1),0))</f>
        <v/>
      </c>
      <c r="V24" s="47" t="str">
        <f aca="false">IF($G24="","",IF($V23="",'Empieza aquí'!$D$8,$V23)+$G24)</f>
        <v/>
      </c>
      <c r="W24" s="47" t="str">
        <f aca="false">IF($V24="","",MAX(IF($W23="",'Empieza aquí'!$D$8,$W23),$V24))</f>
        <v/>
      </c>
      <c r="X24" s="47" t="str">
        <f aca="false">IF($V24="","",$V24-$W24)</f>
        <v/>
      </c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customFormat="false" ht="15" hidden="false" customHeight="true" outlineLevel="0" collapsed="false">
      <c r="A25" s="2"/>
      <c r="B25" s="36"/>
      <c r="C25" s="37"/>
      <c r="D25" s="37"/>
      <c r="E25" s="38"/>
      <c r="F25" s="39"/>
      <c r="G25" s="40" t="str">
        <f aca="false">IF(OR($E25="",$C25="",$D25=""),"",$E25*$D25*IFERROR(INDEX(Listas!$C$6:$C$20,MATCH($C25,Listas!$B$6:$B$20,0)),0)-$D25*IFERROR(INDEX(Listas!$D$6:$D$20,MATCH($C25,Listas!$B$6:$B$20,0)),0))</f>
        <v/>
      </c>
      <c r="H25" s="41" t="str">
        <f aca="false">IF(OR($F25="",$C25="",$D25=""),"",ABS($F25)*$D25*IFERROR(INDEX(Listas!$C$6:$C$20,MATCH($C25,Listas!$B$6:$B$20,0)),0))</f>
        <v/>
      </c>
      <c r="I25" s="42" t="str">
        <f aca="false">IF(OR($E25="",$F25="",$F25=0),"",$E25/ABS($F25))</f>
        <v/>
      </c>
      <c r="J25" s="43" t="str">
        <f aca="false">IF($B25="","",INDEX(Listas!$G$6:$G$12,WEEKDAY($B25,1)))</f>
        <v/>
      </c>
      <c r="K25" s="43" t="str">
        <f aca="false">IFERROR(IF($L25="","",TEXT(IF($L25&lt;1,HOUR($L25),INT($L25)),"00")&amp;":00"),"")</f>
        <v/>
      </c>
      <c r="L25" s="44"/>
      <c r="M25" s="45"/>
      <c r="N25" s="46"/>
      <c r="O25" s="45"/>
      <c r="P25" s="2"/>
      <c r="Q25" s="2"/>
      <c r="R25" s="2"/>
      <c r="S25" s="2"/>
      <c r="T25" s="2"/>
      <c r="U25" s="47" t="str">
        <f aca="false">IF($G25="","",IF($G25&lt;0,IF(N($U24)=0,1,$U24+1),0))</f>
        <v/>
      </c>
      <c r="V25" s="47" t="str">
        <f aca="false">IF($G25="","",IF($V24="",'Empieza aquí'!$D$8,$V24)+$G25)</f>
        <v/>
      </c>
      <c r="W25" s="47" t="str">
        <f aca="false">IF($V25="","",MAX(IF($W24="",'Empieza aquí'!$D$8,$W24),$V25))</f>
        <v/>
      </c>
      <c r="X25" s="47" t="str">
        <f aca="false">IF($V25="","",$V25-$W25)</f>
        <v/>
      </c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customFormat="false" ht="15" hidden="false" customHeight="true" outlineLevel="0" collapsed="false">
      <c r="A26" s="2"/>
      <c r="B26" s="36"/>
      <c r="C26" s="37"/>
      <c r="D26" s="37"/>
      <c r="E26" s="38"/>
      <c r="F26" s="39"/>
      <c r="G26" s="40" t="str">
        <f aca="false">IF(OR($E26="",$C26="",$D26=""),"",$E26*$D26*IFERROR(INDEX(Listas!$C$6:$C$20,MATCH($C26,Listas!$B$6:$B$20,0)),0)-$D26*IFERROR(INDEX(Listas!$D$6:$D$20,MATCH($C26,Listas!$B$6:$B$20,0)),0))</f>
        <v/>
      </c>
      <c r="H26" s="41" t="str">
        <f aca="false">IF(OR($F26="",$C26="",$D26=""),"",ABS($F26)*$D26*IFERROR(INDEX(Listas!$C$6:$C$20,MATCH($C26,Listas!$B$6:$B$20,0)),0))</f>
        <v/>
      </c>
      <c r="I26" s="42" t="str">
        <f aca="false">IF(OR($E26="",$F26="",$F26=0),"",$E26/ABS($F26))</f>
        <v/>
      </c>
      <c r="J26" s="43" t="str">
        <f aca="false">IF($B26="","",INDEX(Listas!$G$6:$G$12,WEEKDAY($B26,1)))</f>
        <v/>
      </c>
      <c r="K26" s="43" t="str">
        <f aca="false">IFERROR(IF($L26="","",TEXT(IF($L26&lt;1,HOUR($L26),INT($L26)),"00")&amp;":00"),"")</f>
        <v/>
      </c>
      <c r="L26" s="44"/>
      <c r="M26" s="45"/>
      <c r="N26" s="46"/>
      <c r="O26" s="45"/>
      <c r="P26" s="2"/>
      <c r="Q26" s="2"/>
      <c r="R26" s="2"/>
      <c r="S26" s="2"/>
      <c r="T26" s="2"/>
      <c r="U26" s="47" t="str">
        <f aca="false">IF($G26="","",IF($G26&lt;0,IF(N($U25)=0,1,$U25+1),0))</f>
        <v/>
      </c>
      <c r="V26" s="47" t="str">
        <f aca="false">IF($G26="","",IF($V25="",'Empieza aquí'!$D$8,$V25)+$G26)</f>
        <v/>
      </c>
      <c r="W26" s="47" t="str">
        <f aca="false">IF($V26="","",MAX(IF($W25="",'Empieza aquí'!$D$8,$W25),$V26))</f>
        <v/>
      </c>
      <c r="X26" s="47" t="str">
        <f aca="false">IF($V26="","",$V26-$W26)</f>
        <v/>
      </c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customFormat="false" ht="15" hidden="false" customHeight="true" outlineLevel="0" collapsed="false">
      <c r="A27" s="2"/>
      <c r="B27" s="36"/>
      <c r="C27" s="37"/>
      <c r="D27" s="37"/>
      <c r="E27" s="38"/>
      <c r="F27" s="39"/>
      <c r="G27" s="40" t="str">
        <f aca="false">IF(OR($E27="",$C27="",$D27=""),"",$E27*$D27*IFERROR(INDEX(Listas!$C$6:$C$20,MATCH($C27,Listas!$B$6:$B$20,0)),0)-$D27*IFERROR(INDEX(Listas!$D$6:$D$20,MATCH($C27,Listas!$B$6:$B$20,0)),0))</f>
        <v/>
      </c>
      <c r="H27" s="41" t="str">
        <f aca="false">IF(OR($F27="",$C27="",$D27=""),"",ABS($F27)*$D27*IFERROR(INDEX(Listas!$C$6:$C$20,MATCH($C27,Listas!$B$6:$B$20,0)),0))</f>
        <v/>
      </c>
      <c r="I27" s="42" t="str">
        <f aca="false">IF(OR($E27="",$F27="",$F27=0),"",$E27/ABS($F27))</f>
        <v/>
      </c>
      <c r="J27" s="43" t="str">
        <f aca="false">IF($B27="","",INDEX(Listas!$G$6:$G$12,WEEKDAY($B27,1)))</f>
        <v/>
      </c>
      <c r="K27" s="43" t="str">
        <f aca="false">IFERROR(IF($L27="","",TEXT(IF($L27&lt;1,HOUR($L27),INT($L27)),"00")&amp;":00"),"")</f>
        <v/>
      </c>
      <c r="L27" s="44"/>
      <c r="M27" s="45"/>
      <c r="N27" s="46"/>
      <c r="O27" s="45"/>
      <c r="P27" s="2"/>
      <c r="Q27" s="2"/>
      <c r="R27" s="2"/>
      <c r="S27" s="2"/>
      <c r="T27" s="2"/>
      <c r="U27" s="47" t="str">
        <f aca="false">IF($G27="","",IF($G27&lt;0,IF(N($U26)=0,1,$U26+1),0))</f>
        <v/>
      </c>
      <c r="V27" s="47" t="str">
        <f aca="false">IF($G27="","",IF($V26="",'Empieza aquí'!$D$8,$V26)+$G27)</f>
        <v/>
      </c>
      <c r="W27" s="47" t="str">
        <f aca="false">IF($V27="","",MAX(IF($W26="",'Empieza aquí'!$D$8,$W26),$V27))</f>
        <v/>
      </c>
      <c r="X27" s="47" t="str">
        <f aca="false">IF($V27="","",$V27-$W27)</f>
        <v/>
      </c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customFormat="false" ht="15" hidden="false" customHeight="true" outlineLevel="0" collapsed="false">
      <c r="A28" s="2"/>
      <c r="B28" s="36"/>
      <c r="C28" s="37"/>
      <c r="D28" s="37"/>
      <c r="E28" s="38"/>
      <c r="F28" s="39"/>
      <c r="G28" s="40" t="str">
        <f aca="false">IF(OR($E28="",$C28="",$D28=""),"",$E28*$D28*IFERROR(INDEX(Listas!$C$6:$C$20,MATCH($C28,Listas!$B$6:$B$20,0)),0)-$D28*IFERROR(INDEX(Listas!$D$6:$D$20,MATCH($C28,Listas!$B$6:$B$20,0)),0))</f>
        <v/>
      </c>
      <c r="H28" s="41" t="str">
        <f aca="false">IF(OR($F28="",$C28="",$D28=""),"",ABS($F28)*$D28*IFERROR(INDEX(Listas!$C$6:$C$20,MATCH($C28,Listas!$B$6:$B$20,0)),0))</f>
        <v/>
      </c>
      <c r="I28" s="42" t="str">
        <f aca="false">IF(OR($E28="",$F28="",$F28=0),"",$E28/ABS($F28))</f>
        <v/>
      </c>
      <c r="J28" s="43" t="str">
        <f aca="false">IF($B28="","",INDEX(Listas!$G$6:$G$12,WEEKDAY($B28,1)))</f>
        <v/>
      </c>
      <c r="K28" s="43" t="str">
        <f aca="false">IFERROR(IF($L28="","",TEXT(IF($L28&lt;1,HOUR($L28),INT($L28)),"00")&amp;":00"),"")</f>
        <v/>
      </c>
      <c r="L28" s="44"/>
      <c r="M28" s="45"/>
      <c r="N28" s="46"/>
      <c r="O28" s="45"/>
      <c r="P28" s="2"/>
      <c r="Q28" s="2"/>
      <c r="R28" s="2"/>
      <c r="S28" s="2"/>
      <c r="T28" s="2"/>
      <c r="U28" s="47" t="str">
        <f aca="false">IF($G28="","",IF($G28&lt;0,IF(N($U27)=0,1,$U27+1),0))</f>
        <v/>
      </c>
      <c r="V28" s="47" t="str">
        <f aca="false">IF($G28="","",IF($V27="",'Empieza aquí'!$D$8,$V27)+$G28)</f>
        <v/>
      </c>
      <c r="W28" s="47" t="str">
        <f aca="false">IF($V28="","",MAX(IF($W27="",'Empieza aquí'!$D$8,$W27),$V28))</f>
        <v/>
      </c>
      <c r="X28" s="47" t="str">
        <f aca="false">IF($V28="","",$V28-$W28)</f>
        <v/>
      </c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customFormat="false" ht="15" hidden="false" customHeight="true" outlineLevel="0" collapsed="false">
      <c r="A29" s="2"/>
      <c r="B29" s="36"/>
      <c r="C29" s="37"/>
      <c r="D29" s="37"/>
      <c r="E29" s="38"/>
      <c r="F29" s="39"/>
      <c r="G29" s="40" t="str">
        <f aca="false">IF(OR($E29="",$C29="",$D29=""),"",$E29*$D29*IFERROR(INDEX(Listas!$C$6:$C$20,MATCH($C29,Listas!$B$6:$B$20,0)),0)-$D29*IFERROR(INDEX(Listas!$D$6:$D$20,MATCH($C29,Listas!$B$6:$B$20,0)),0))</f>
        <v/>
      </c>
      <c r="H29" s="41" t="str">
        <f aca="false">IF(OR($F29="",$C29="",$D29=""),"",ABS($F29)*$D29*IFERROR(INDEX(Listas!$C$6:$C$20,MATCH($C29,Listas!$B$6:$B$20,0)),0))</f>
        <v/>
      </c>
      <c r="I29" s="42" t="str">
        <f aca="false">IF(OR($E29="",$F29="",$F29=0),"",$E29/ABS($F29))</f>
        <v/>
      </c>
      <c r="J29" s="43" t="str">
        <f aca="false">IF($B29="","",INDEX(Listas!$G$6:$G$12,WEEKDAY($B29,1)))</f>
        <v/>
      </c>
      <c r="K29" s="43" t="str">
        <f aca="false">IFERROR(IF($L29="","",TEXT(IF($L29&lt;1,HOUR($L29),INT($L29)),"00")&amp;":00"),"")</f>
        <v/>
      </c>
      <c r="L29" s="44"/>
      <c r="M29" s="45"/>
      <c r="N29" s="46"/>
      <c r="O29" s="45"/>
      <c r="P29" s="2"/>
      <c r="Q29" s="2"/>
      <c r="R29" s="2"/>
      <c r="S29" s="2"/>
      <c r="T29" s="2"/>
      <c r="U29" s="47" t="str">
        <f aca="false">IF($G29="","",IF($G29&lt;0,IF(N($U28)=0,1,$U28+1),0))</f>
        <v/>
      </c>
      <c r="V29" s="47" t="str">
        <f aca="false">IF($G29="","",IF($V28="",'Empieza aquí'!$D$8,$V28)+$G29)</f>
        <v/>
      </c>
      <c r="W29" s="47" t="str">
        <f aca="false">IF($V29="","",MAX(IF($W28="",'Empieza aquí'!$D$8,$W28),$V29))</f>
        <v/>
      </c>
      <c r="X29" s="47" t="str">
        <f aca="false">IF($V29="","",$V29-$W29)</f>
        <v/>
      </c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customFormat="false" ht="15" hidden="false" customHeight="true" outlineLevel="0" collapsed="false">
      <c r="A30" s="2"/>
      <c r="B30" s="36"/>
      <c r="C30" s="37"/>
      <c r="D30" s="37"/>
      <c r="E30" s="38"/>
      <c r="F30" s="39"/>
      <c r="G30" s="40" t="str">
        <f aca="false">IF(OR($E30="",$C30="",$D30=""),"",$E30*$D30*IFERROR(INDEX(Listas!$C$6:$C$20,MATCH($C30,Listas!$B$6:$B$20,0)),0)-$D30*IFERROR(INDEX(Listas!$D$6:$D$20,MATCH($C30,Listas!$B$6:$B$20,0)),0))</f>
        <v/>
      </c>
      <c r="H30" s="41" t="str">
        <f aca="false">IF(OR($F30="",$C30="",$D30=""),"",ABS($F30)*$D30*IFERROR(INDEX(Listas!$C$6:$C$20,MATCH($C30,Listas!$B$6:$B$20,0)),0))</f>
        <v/>
      </c>
      <c r="I30" s="42" t="str">
        <f aca="false">IF(OR($E30="",$F30="",$F30=0),"",$E30/ABS($F30))</f>
        <v/>
      </c>
      <c r="J30" s="43" t="str">
        <f aca="false">IF($B30="","",INDEX(Listas!$G$6:$G$12,WEEKDAY($B30,1)))</f>
        <v/>
      </c>
      <c r="K30" s="43" t="str">
        <f aca="false">IFERROR(IF($L30="","",TEXT(IF($L30&lt;1,HOUR($L30),INT($L30)),"00")&amp;":00"),"")</f>
        <v/>
      </c>
      <c r="L30" s="44"/>
      <c r="M30" s="45"/>
      <c r="N30" s="46"/>
      <c r="O30" s="45"/>
      <c r="P30" s="2"/>
      <c r="Q30" s="2"/>
      <c r="R30" s="2"/>
      <c r="S30" s="2"/>
      <c r="T30" s="2"/>
      <c r="U30" s="47" t="str">
        <f aca="false">IF($G30="","",IF($G30&lt;0,IF(N($U29)=0,1,$U29+1),0))</f>
        <v/>
      </c>
      <c r="V30" s="47" t="str">
        <f aca="false">IF($G30="","",IF($V29="",'Empieza aquí'!$D$8,$V29)+$G30)</f>
        <v/>
      </c>
      <c r="W30" s="47" t="str">
        <f aca="false">IF($V30="","",MAX(IF($W29="",'Empieza aquí'!$D$8,$W29),$V30))</f>
        <v/>
      </c>
      <c r="X30" s="47" t="str">
        <f aca="false">IF($V30="","",$V30-$W30)</f>
        <v/>
      </c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customFormat="false" ht="15" hidden="false" customHeight="true" outlineLevel="0" collapsed="false">
      <c r="A31" s="2"/>
      <c r="B31" s="36"/>
      <c r="C31" s="37"/>
      <c r="D31" s="37"/>
      <c r="E31" s="38"/>
      <c r="F31" s="39"/>
      <c r="G31" s="40" t="str">
        <f aca="false">IF(OR($E31="",$C31="",$D31=""),"",$E31*$D31*IFERROR(INDEX(Listas!$C$6:$C$20,MATCH($C31,Listas!$B$6:$B$20,0)),0)-$D31*IFERROR(INDEX(Listas!$D$6:$D$20,MATCH($C31,Listas!$B$6:$B$20,0)),0))</f>
        <v/>
      </c>
      <c r="H31" s="41" t="str">
        <f aca="false">IF(OR($F31="",$C31="",$D31=""),"",ABS($F31)*$D31*IFERROR(INDEX(Listas!$C$6:$C$20,MATCH($C31,Listas!$B$6:$B$20,0)),0))</f>
        <v/>
      </c>
      <c r="I31" s="42" t="str">
        <f aca="false">IF(OR($E31="",$F31="",$F31=0),"",$E31/ABS($F31))</f>
        <v/>
      </c>
      <c r="J31" s="43" t="str">
        <f aca="false">IF($B31="","",INDEX(Listas!$G$6:$G$12,WEEKDAY($B31,1)))</f>
        <v/>
      </c>
      <c r="K31" s="43" t="str">
        <f aca="false">IFERROR(IF($L31="","",TEXT(IF($L31&lt;1,HOUR($L31),INT($L31)),"00")&amp;":00"),"")</f>
        <v/>
      </c>
      <c r="L31" s="44"/>
      <c r="M31" s="45"/>
      <c r="N31" s="46"/>
      <c r="O31" s="45"/>
      <c r="P31" s="2"/>
      <c r="Q31" s="2"/>
      <c r="R31" s="2"/>
      <c r="S31" s="2"/>
      <c r="T31" s="2"/>
      <c r="U31" s="47" t="str">
        <f aca="false">IF($G31="","",IF($G31&lt;0,IF(N($U30)=0,1,$U30+1),0))</f>
        <v/>
      </c>
      <c r="V31" s="47" t="str">
        <f aca="false">IF($G31="","",IF($V30="",'Empieza aquí'!$D$8,$V30)+$G31)</f>
        <v/>
      </c>
      <c r="W31" s="47" t="str">
        <f aca="false">IF($V31="","",MAX(IF($W30="",'Empieza aquí'!$D$8,$W30),$V31))</f>
        <v/>
      </c>
      <c r="X31" s="47" t="str">
        <f aca="false">IF($V31="","",$V31-$W31)</f>
        <v/>
      </c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customFormat="false" ht="15" hidden="false" customHeight="true" outlineLevel="0" collapsed="false">
      <c r="A32" s="2"/>
      <c r="B32" s="36"/>
      <c r="C32" s="37"/>
      <c r="D32" s="37"/>
      <c r="E32" s="38"/>
      <c r="F32" s="39"/>
      <c r="G32" s="40" t="str">
        <f aca="false">IF(OR($E32="",$C32="",$D32=""),"",$E32*$D32*IFERROR(INDEX(Listas!$C$6:$C$20,MATCH($C32,Listas!$B$6:$B$20,0)),0)-$D32*IFERROR(INDEX(Listas!$D$6:$D$20,MATCH($C32,Listas!$B$6:$B$20,0)),0))</f>
        <v/>
      </c>
      <c r="H32" s="41" t="str">
        <f aca="false">IF(OR($F32="",$C32="",$D32=""),"",ABS($F32)*$D32*IFERROR(INDEX(Listas!$C$6:$C$20,MATCH($C32,Listas!$B$6:$B$20,0)),0))</f>
        <v/>
      </c>
      <c r="I32" s="42" t="str">
        <f aca="false">IF(OR($E32="",$F32="",$F32=0),"",$E32/ABS($F32))</f>
        <v/>
      </c>
      <c r="J32" s="43" t="str">
        <f aca="false">IF($B32="","",INDEX(Listas!$G$6:$G$12,WEEKDAY($B32,1)))</f>
        <v/>
      </c>
      <c r="K32" s="43" t="str">
        <f aca="false">IFERROR(IF($L32="","",TEXT(IF($L32&lt;1,HOUR($L32),INT($L32)),"00")&amp;":00"),"")</f>
        <v/>
      </c>
      <c r="L32" s="44"/>
      <c r="M32" s="45"/>
      <c r="N32" s="46"/>
      <c r="O32" s="45"/>
      <c r="P32" s="2"/>
      <c r="Q32" s="2"/>
      <c r="R32" s="2"/>
      <c r="S32" s="2"/>
      <c r="T32" s="2"/>
      <c r="U32" s="47" t="str">
        <f aca="false">IF($G32="","",IF($G32&lt;0,IF(N($U31)=0,1,$U31+1),0))</f>
        <v/>
      </c>
      <c r="V32" s="47" t="str">
        <f aca="false">IF($G32="","",IF($V31="",'Empieza aquí'!$D$8,$V31)+$G32)</f>
        <v/>
      </c>
      <c r="W32" s="47" t="str">
        <f aca="false">IF($V32="","",MAX(IF($W31="",'Empieza aquí'!$D$8,$W31),$V32))</f>
        <v/>
      </c>
      <c r="X32" s="47" t="str">
        <f aca="false">IF($V32="","",$V32-$W32)</f>
        <v/>
      </c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customFormat="false" ht="15" hidden="false" customHeight="true" outlineLevel="0" collapsed="false">
      <c r="A33" s="2"/>
      <c r="B33" s="36"/>
      <c r="C33" s="37"/>
      <c r="D33" s="37"/>
      <c r="E33" s="38"/>
      <c r="F33" s="39"/>
      <c r="G33" s="40" t="str">
        <f aca="false">IF(OR($E33="",$C33="",$D33=""),"",$E33*$D33*IFERROR(INDEX(Listas!$C$6:$C$20,MATCH($C33,Listas!$B$6:$B$20,0)),0)-$D33*IFERROR(INDEX(Listas!$D$6:$D$20,MATCH($C33,Listas!$B$6:$B$20,0)),0))</f>
        <v/>
      </c>
      <c r="H33" s="41" t="str">
        <f aca="false">IF(OR($F33="",$C33="",$D33=""),"",ABS($F33)*$D33*IFERROR(INDEX(Listas!$C$6:$C$20,MATCH($C33,Listas!$B$6:$B$20,0)),0))</f>
        <v/>
      </c>
      <c r="I33" s="42" t="str">
        <f aca="false">IF(OR($E33="",$F33="",$F33=0),"",$E33/ABS($F33))</f>
        <v/>
      </c>
      <c r="J33" s="43" t="str">
        <f aca="false">IF($B33="","",INDEX(Listas!$G$6:$G$12,WEEKDAY($B33,1)))</f>
        <v/>
      </c>
      <c r="K33" s="43" t="str">
        <f aca="false">IFERROR(IF($L33="","",TEXT(IF($L33&lt;1,HOUR($L33),INT($L33)),"00")&amp;":00"),"")</f>
        <v/>
      </c>
      <c r="L33" s="44"/>
      <c r="M33" s="45"/>
      <c r="N33" s="46"/>
      <c r="O33" s="45"/>
      <c r="P33" s="2"/>
      <c r="Q33" s="2"/>
      <c r="R33" s="2"/>
      <c r="S33" s="2"/>
      <c r="T33" s="2"/>
      <c r="U33" s="47" t="str">
        <f aca="false">IF($G33="","",IF($G33&lt;0,IF(N($U32)=0,1,$U32+1),0))</f>
        <v/>
      </c>
      <c r="V33" s="47" t="str">
        <f aca="false">IF($G33="","",IF($V32="",'Empieza aquí'!$D$8,$V32)+$G33)</f>
        <v/>
      </c>
      <c r="W33" s="47" t="str">
        <f aca="false">IF($V33="","",MAX(IF($W32="",'Empieza aquí'!$D$8,$W32),$V33))</f>
        <v/>
      </c>
      <c r="X33" s="47" t="str">
        <f aca="false">IF($V33="","",$V33-$W33)</f>
        <v/>
      </c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customFormat="false" ht="15" hidden="false" customHeight="true" outlineLevel="0" collapsed="false">
      <c r="A34" s="2"/>
      <c r="B34" s="36"/>
      <c r="C34" s="37"/>
      <c r="D34" s="37"/>
      <c r="E34" s="38"/>
      <c r="F34" s="39"/>
      <c r="G34" s="40" t="str">
        <f aca="false">IF(OR($E34="",$C34="",$D34=""),"",$E34*$D34*IFERROR(INDEX(Listas!$C$6:$C$20,MATCH($C34,Listas!$B$6:$B$20,0)),0)-$D34*IFERROR(INDEX(Listas!$D$6:$D$20,MATCH($C34,Listas!$B$6:$B$20,0)),0))</f>
        <v/>
      </c>
      <c r="H34" s="41" t="str">
        <f aca="false">IF(OR($F34="",$C34="",$D34=""),"",ABS($F34)*$D34*IFERROR(INDEX(Listas!$C$6:$C$20,MATCH($C34,Listas!$B$6:$B$20,0)),0))</f>
        <v/>
      </c>
      <c r="I34" s="42" t="str">
        <f aca="false">IF(OR($E34="",$F34="",$F34=0),"",$E34/ABS($F34))</f>
        <v/>
      </c>
      <c r="J34" s="43" t="str">
        <f aca="false">IF($B34="","",INDEX(Listas!$G$6:$G$12,WEEKDAY($B34,1)))</f>
        <v/>
      </c>
      <c r="K34" s="43" t="str">
        <f aca="false">IFERROR(IF($L34="","",TEXT(IF($L34&lt;1,HOUR($L34),INT($L34)),"00")&amp;":00"),"")</f>
        <v/>
      </c>
      <c r="L34" s="44"/>
      <c r="M34" s="45"/>
      <c r="N34" s="46"/>
      <c r="O34" s="45"/>
      <c r="P34" s="2"/>
      <c r="Q34" s="2"/>
      <c r="R34" s="2"/>
      <c r="S34" s="2"/>
      <c r="T34" s="2"/>
      <c r="U34" s="47" t="str">
        <f aca="false">IF($G34="","",IF($G34&lt;0,IF(N($U33)=0,1,$U33+1),0))</f>
        <v/>
      </c>
      <c r="V34" s="47" t="str">
        <f aca="false">IF($G34="","",IF($V33="",'Empieza aquí'!$D$8,$V33)+$G34)</f>
        <v/>
      </c>
      <c r="W34" s="47" t="str">
        <f aca="false">IF($V34="","",MAX(IF($W33="",'Empieza aquí'!$D$8,$W33),$V34))</f>
        <v/>
      </c>
      <c r="X34" s="47" t="str">
        <f aca="false">IF($V34="","",$V34-$W34)</f>
        <v/>
      </c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customFormat="false" ht="15" hidden="false" customHeight="true" outlineLevel="0" collapsed="false">
      <c r="A35" s="2"/>
      <c r="B35" s="36"/>
      <c r="C35" s="37"/>
      <c r="D35" s="37"/>
      <c r="E35" s="38"/>
      <c r="F35" s="39"/>
      <c r="G35" s="40" t="str">
        <f aca="false">IF(OR($E35="",$C35="",$D35=""),"",$E35*$D35*IFERROR(INDEX(Listas!$C$6:$C$20,MATCH($C35,Listas!$B$6:$B$20,0)),0)-$D35*IFERROR(INDEX(Listas!$D$6:$D$20,MATCH($C35,Listas!$B$6:$B$20,0)),0))</f>
        <v/>
      </c>
      <c r="H35" s="41" t="str">
        <f aca="false">IF(OR($F35="",$C35="",$D35=""),"",ABS($F35)*$D35*IFERROR(INDEX(Listas!$C$6:$C$20,MATCH($C35,Listas!$B$6:$B$20,0)),0))</f>
        <v/>
      </c>
      <c r="I35" s="42" t="str">
        <f aca="false">IF(OR($E35="",$F35="",$F35=0),"",$E35/ABS($F35))</f>
        <v/>
      </c>
      <c r="J35" s="43" t="str">
        <f aca="false">IF($B35="","",INDEX(Listas!$G$6:$G$12,WEEKDAY($B35,1)))</f>
        <v/>
      </c>
      <c r="K35" s="43" t="str">
        <f aca="false">IFERROR(IF($L35="","",TEXT(IF($L35&lt;1,HOUR($L35),INT($L35)),"00")&amp;":00"),"")</f>
        <v/>
      </c>
      <c r="L35" s="44"/>
      <c r="M35" s="45"/>
      <c r="N35" s="46"/>
      <c r="O35" s="45"/>
      <c r="P35" s="2"/>
      <c r="Q35" s="2"/>
      <c r="R35" s="2"/>
      <c r="S35" s="2"/>
      <c r="T35" s="2"/>
      <c r="U35" s="47" t="str">
        <f aca="false">IF($G35="","",IF($G35&lt;0,IF(N($U34)=0,1,$U34+1),0))</f>
        <v/>
      </c>
      <c r="V35" s="47" t="str">
        <f aca="false">IF($G35="","",IF($V34="",'Empieza aquí'!$D$8,$V34)+$G35)</f>
        <v/>
      </c>
      <c r="W35" s="47" t="str">
        <f aca="false">IF($V35="","",MAX(IF($W34="",'Empieza aquí'!$D$8,$W34),$V35))</f>
        <v/>
      </c>
      <c r="X35" s="47" t="str">
        <f aca="false">IF($V35="","",$V35-$W35)</f>
        <v/>
      </c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customFormat="false" ht="15" hidden="false" customHeight="true" outlineLevel="0" collapsed="false">
      <c r="A36" s="2"/>
      <c r="B36" s="36"/>
      <c r="C36" s="37"/>
      <c r="D36" s="37"/>
      <c r="E36" s="38"/>
      <c r="F36" s="39"/>
      <c r="G36" s="40" t="str">
        <f aca="false">IF(OR($E36="",$C36="",$D36=""),"",$E36*$D36*IFERROR(INDEX(Listas!$C$6:$C$20,MATCH($C36,Listas!$B$6:$B$20,0)),0)-$D36*IFERROR(INDEX(Listas!$D$6:$D$20,MATCH($C36,Listas!$B$6:$B$20,0)),0))</f>
        <v/>
      </c>
      <c r="H36" s="41" t="str">
        <f aca="false">IF(OR($F36="",$C36="",$D36=""),"",ABS($F36)*$D36*IFERROR(INDEX(Listas!$C$6:$C$20,MATCH($C36,Listas!$B$6:$B$20,0)),0))</f>
        <v/>
      </c>
      <c r="I36" s="42" t="str">
        <f aca="false">IF(OR($E36="",$F36="",$F36=0),"",$E36/ABS($F36))</f>
        <v/>
      </c>
      <c r="J36" s="43" t="str">
        <f aca="false">IF($B36="","",INDEX(Listas!$G$6:$G$12,WEEKDAY($B36,1)))</f>
        <v/>
      </c>
      <c r="K36" s="43" t="str">
        <f aca="false">IFERROR(IF($L36="","",TEXT(IF($L36&lt;1,HOUR($L36),INT($L36)),"00")&amp;":00"),"")</f>
        <v/>
      </c>
      <c r="L36" s="44"/>
      <c r="M36" s="45"/>
      <c r="N36" s="46"/>
      <c r="O36" s="45"/>
      <c r="P36" s="2"/>
      <c r="Q36" s="2"/>
      <c r="R36" s="2"/>
      <c r="S36" s="2"/>
      <c r="T36" s="2"/>
      <c r="U36" s="47" t="str">
        <f aca="false">IF($G36="","",IF($G36&lt;0,IF(N($U35)=0,1,$U35+1),0))</f>
        <v/>
      </c>
      <c r="V36" s="47" t="str">
        <f aca="false">IF($G36="","",IF($V35="",'Empieza aquí'!$D$8,$V35)+$G36)</f>
        <v/>
      </c>
      <c r="W36" s="47" t="str">
        <f aca="false">IF($V36="","",MAX(IF($W35="",'Empieza aquí'!$D$8,$W35),$V36))</f>
        <v/>
      </c>
      <c r="X36" s="47" t="str">
        <f aca="false">IF($V36="","",$V36-$W36)</f>
        <v/>
      </c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customFormat="false" ht="15" hidden="false" customHeight="true" outlineLevel="0" collapsed="false">
      <c r="A37" s="2"/>
      <c r="B37" s="36"/>
      <c r="C37" s="37"/>
      <c r="D37" s="37"/>
      <c r="E37" s="38"/>
      <c r="F37" s="39"/>
      <c r="G37" s="40" t="str">
        <f aca="false">IF(OR($E37="",$C37="",$D37=""),"",$E37*$D37*IFERROR(INDEX(Listas!$C$6:$C$20,MATCH($C37,Listas!$B$6:$B$20,0)),0)-$D37*IFERROR(INDEX(Listas!$D$6:$D$20,MATCH($C37,Listas!$B$6:$B$20,0)),0))</f>
        <v/>
      </c>
      <c r="H37" s="41" t="str">
        <f aca="false">IF(OR($F37="",$C37="",$D37=""),"",ABS($F37)*$D37*IFERROR(INDEX(Listas!$C$6:$C$20,MATCH($C37,Listas!$B$6:$B$20,0)),0))</f>
        <v/>
      </c>
      <c r="I37" s="42" t="str">
        <f aca="false">IF(OR($E37="",$F37="",$F37=0),"",$E37/ABS($F37))</f>
        <v/>
      </c>
      <c r="J37" s="43" t="str">
        <f aca="false">IF($B37="","",INDEX(Listas!$G$6:$G$12,WEEKDAY($B37,1)))</f>
        <v/>
      </c>
      <c r="K37" s="43" t="str">
        <f aca="false">IFERROR(IF($L37="","",TEXT(IF($L37&lt;1,HOUR($L37),INT($L37)),"00")&amp;":00"),"")</f>
        <v/>
      </c>
      <c r="L37" s="44"/>
      <c r="M37" s="45"/>
      <c r="N37" s="46"/>
      <c r="O37" s="45"/>
      <c r="P37" s="2"/>
      <c r="Q37" s="2"/>
      <c r="R37" s="2"/>
      <c r="S37" s="2"/>
      <c r="T37" s="2"/>
      <c r="U37" s="47" t="str">
        <f aca="false">IF($G37="","",IF($G37&lt;0,IF(N($U36)=0,1,$U36+1),0))</f>
        <v/>
      </c>
      <c r="V37" s="47" t="str">
        <f aca="false">IF($G37="","",IF($V36="",'Empieza aquí'!$D$8,$V36)+$G37)</f>
        <v/>
      </c>
      <c r="W37" s="47" t="str">
        <f aca="false">IF($V37="","",MAX(IF($W36="",'Empieza aquí'!$D$8,$W36),$V37))</f>
        <v/>
      </c>
      <c r="X37" s="47" t="str">
        <f aca="false">IF($V37="","",$V37-$W37)</f>
        <v/>
      </c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customFormat="false" ht="15" hidden="false" customHeight="true" outlineLevel="0" collapsed="false">
      <c r="A38" s="2"/>
      <c r="B38" s="36"/>
      <c r="C38" s="37"/>
      <c r="D38" s="37"/>
      <c r="E38" s="38"/>
      <c r="F38" s="39"/>
      <c r="G38" s="40" t="str">
        <f aca="false">IF(OR($E38="",$C38="",$D38=""),"",$E38*$D38*IFERROR(INDEX(Listas!$C$6:$C$20,MATCH($C38,Listas!$B$6:$B$20,0)),0)-$D38*IFERROR(INDEX(Listas!$D$6:$D$20,MATCH($C38,Listas!$B$6:$B$20,0)),0))</f>
        <v/>
      </c>
      <c r="H38" s="41" t="str">
        <f aca="false">IF(OR($F38="",$C38="",$D38=""),"",ABS($F38)*$D38*IFERROR(INDEX(Listas!$C$6:$C$20,MATCH($C38,Listas!$B$6:$B$20,0)),0))</f>
        <v/>
      </c>
      <c r="I38" s="42" t="str">
        <f aca="false">IF(OR($E38="",$F38="",$F38=0),"",$E38/ABS($F38))</f>
        <v/>
      </c>
      <c r="J38" s="43" t="str">
        <f aca="false">IF($B38="","",INDEX(Listas!$G$6:$G$12,WEEKDAY($B38,1)))</f>
        <v/>
      </c>
      <c r="K38" s="43" t="str">
        <f aca="false">IFERROR(IF($L38="","",TEXT(IF($L38&lt;1,HOUR($L38),INT($L38)),"00")&amp;":00"),"")</f>
        <v/>
      </c>
      <c r="L38" s="44"/>
      <c r="M38" s="45"/>
      <c r="N38" s="46"/>
      <c r="O38" s="45"/>
      <c r="P38" s="2"/>
      <c r="Q38" s="2"/>
      <c r="R38" s="2"/>
      <c r="S38" s="2"/>
      <c r="T38" s="2"/>
      <c r="U38" s="47" t="str">
        <f aca="false">IF($G38="","",IF($G38&lt;0,IF(N($U37)=0,1,$U37+1),0))</f>
        <v/>
      </c>
      <c r="V38" s="47" t="str">
        <f aca="false">IF($G38="","",IF($V37="",'Empieza aquí'!$D$8,$V37)+$G38)</f>
        <v/>
      </c>
      <c r="W38" s="47" t="str">
        <f aca="false">IF($V38="","",MAX(IF($W37="",'Empieza aquí'!$D$8,$W37),$V38))</f>
        <v/>
      </c>
      <c r="X38" s="47" t="str">
        <f aca="false">IF($V38="","",$V38-$W38)</f>
        <v/>
      </c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customFormat="false" ht="15" hidden="false" customHeight="true" outlineLevel="0" collapsed="false">
      <c r="A39" s="2"/>
      <c r="B39" s="36"/>
      <c r="C39" s="37"/>
      <c r="D39" s="37"/>
      <c r="E39" s="38"/>
      <c r="F39" s="39"/>
      <c r="G39" s="40" t="str">
        <f aca="false">IF(OR($E39="",$C39="",$D39=""),"",$E39*$D39*IFERROR(INDEX(Listas!$C$6:$C$20,MATCH($C39,Listas!$B$6:$B$20,0)),0)-$D39*IFERROR(INDEX(Listas!$D$6:$D$20,MATCH($C39,Listas!$B$6:$B$20,0)),0))</f>
        <v/>
      </c>
      <c r="H39" s="41" t="str">
        <f aca="false">IF(OR($F39="",$C39="",$D39=""),"",ABS($F39)*$D39*IFERROR(INDEX(Listas!$C$6:$C$20,MATCH($C39,Listas!$B$6:$B$20,0)),0))</f>
        <v/>
      </c>
      <c r="I39" s="42" t="str">
        <f aca="false">IF(OR($E39="",$F39="",$F39=0),"",$E39/ABS($F39))</f>
        <v/>
      </c>
      <c r="J39" s="43" t="str">
        <f aca="false">IF($B39="","",INDEX(Listas!$G$6:$G$12,WEEKDAY($B39,1)))</f>
        <v/>
      </c>
      <c r="K39" s="43" t="str">
        <f aca="false">IFERROR(IF($L39="","",TEXT(IF($L39&lt;1,HOUR($L39),INT($L39)),"00")&amp;":00"),"")</f>
        <v/>
      </c>
      <c r="L39" s="44"/>
      <c r="M39" s="45"/>
      <c r="N39" s="46"/>
      <c r="O39" s="45"/>
      <c r="P39" s="2"/>
      <c r="Q39" s="2"/>
      <c r="R39" s="2"/>
      <c r="S39" s="2"/>
      <c r="T39" s="2"/>
      <c r="U39" s="47" t="str">
        <f aca="false">IF($G39="","",IF($G39&lt;0,IF(N($U38)=0,1,$U38+1),0))</f>
        <v/>
      </c>
      <c r="V39" s="47" t="str">
        <f aca="false">IF($G39="","",IF($V38="",'Empieza aquí'!$D$8,$V38)+$G39)</f>
        <v/>
      </c>
      <c r="W39" s="47" t="str">
        <f aca="false">IF($V39="","",MAX(IF($W38="",'Empieza aquí'!$D$8,$W38),$V39))</f>
        <v/>
      </c>
      <c r="X39" s="47" t="str">
        <f aca="false">IF($V39="","",$V39-$W39)</f>
        <v/>
      </c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customFormat="false" ht="15" hidden="false" customHeight="true" outlineLevel="0" collapsed="false">
      <c r="A40" s="2"/>
      <c r="B40" s="36"/>
      <c r="C40" s="37"/>
      <c r="D40" s="37"/>
      <c r="E40" s="38"/>
      <c r="F40" s="39"/>
      <c r="G40" s="40" t="str">
        <f aca="false">IF(OR($E40="",$C40="",$D40=""),"",$E40*$D40*IFERROR(INDEX(Listas!$C$6:$C$20,MATCH($C40,Listas!$B$6:$B$20,0)),0)-$D40*IFERROR(INDEX(Listas!$D$6:$D$20,MATCH($C40,Listas!$B$6:$B$20,0)),0))</f>
        <v/>
      </c>
      <c r="H40" s="41" t="str">
        <f aca="false">IF(OR($F40="",$C40="",$D40=""),"",ABS($F40)*$D40*IFERROR(INDEX(Listas!$C$6:$C$20,MATCH($C40,Listas!$B$6:$B$20,0)),0))</f>
        <v/>
      </c>
      <c r="I40" s="42" t="str">
        <f aca="false">IF(OR($E40="",$F40="",$F40=0),"",$E40/ABS($F40))</f>
        <v/>
      </c>
      <c r="J40" s="43" t="str">
        <f aca="false">IF($B40="","",INDEX(Listas!$G$6:$G$12,WEEKDAY($B40,1)))</f>
        <v/>
      </c>
      <c r="K40" s="43" t="str">
        <f aca="false">IFERROR(IF($L40="","",TEXT(IF($L40&lt;1,HOUR($L40),INT($L40)),"00")&amp;":00"),"")</f>
        <v/>
      </c>
      <c r="L40" s="44"/>
      <c r="M40" s="45"/>
      <c r="N40" s="46"/>
      <c r="O40" s="45"/>
      <c r="P40" s="2"/>
      <c r="Q40" s="2"/>
      <c r="R40" s="2"/>
      <c r="S40" s="2"/>
      <c r="T40" s="2"/>
      <c r="U40" s="47" t="str">
        <f aca="false">IF($G40="","",IF($G40&lt;0,IF(N($U39)=0,1,$U39+1),0))</f>
        <v/>
      </c>
      <c r="V40" s="47" t="str">
        <f aca="false">IF($G40="","",IF($V39="",'Empieza aquí'!$D$8,$V39)+$G40)</f>
        <v/>
      </c>
      <c r="W40" s="47" t="str">
        <f aca="false">IF($V40="","",MAX(IF($W39="",'Empieza aquí'!$D$8,$W39),$V40))</f>
        <v/>
      </c>
      <c r="X40" s="47" t="str">
        <f aca="false">IF($V40="","",$V40-$W40)</f>
        <v/>
      </c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customFormat="false" ht="15" hidden="false" customHeight="true" outlineLevel="0" collapsed="false">
      <c r="A41" s="2"/>
      <c r="B41" s="36"/>
      <c r="C41" s="37"/>
      <c r="D41" s="37"/>
      <c r="E41" s="38"/>
      <c r="F41" s="39"/>
      <c r="G41" s="40" t="str">
        <f aca="false">IF(OR($E41="",$C41="",$D41=""),"",$E41*$D41*IFERROR(INDEX(Listas!$C$6:$C$20,MATCH($C41,Listas!$B$6:$B$20,0)),0)-$D41*IFERROR(INDEX(Listas!$D$6:$D$20,MATCH($C41,Listas!$B$6:$B$20,0)),0))</f>
        <v/>
      </c>
      <c r="H41" s="41" t="str">
        <f aca="false">IF(OR($F41="",$C41="",$D41=""),"",ABS($F41)*$D41*IFERROR(INDEX(Listas!$C$6:$C$20,MATCH($C41,Listas!$B$6:$B$20,0)),0))</f>
        <v/>
      </c>
      <c r="I41" s="42" t="str">
        <f aca="false">IF(OR($E41="",$F41="",$F41=0),"",$E41/ABS($F41))</f>
        <v/>
      </c>
      <c r="J41" s="43" t="str">
        <f aca="false">IF($B41="","",INDEX(Listas!$G$6:$G$12,WEEKDAY($B41,1)))</f>
        <v/>
      </c>
      <c r="K41" s="43" t="str">
        <f aca="false">IFERROR(IF($L41="","",TEXT(IF($L41&lt;1,HOUR($L41),INT($L41)),"00")&amp;":00"),"")</f>
        <v/>
      </c>
      <c r="L41" s="44"/>
      <c r="M41" s="45"/>
      <c r="N41" s="46"/>
      <c r="O41" s="45"/>
      <c r="P41" s="2"/>
      <c r="Q41" s="2"/>
      <c r="R41" s="2"/>
      <c r="S41" s="2"/>
      <c r="T41" s="2"/>
      <c r="U41" s="47" t="str">
        <f aca="false">IF($G41="","",IF($G41&lt;0,IF(N($U40)=0,1,$U40+1),0))</f>
        <v/>
      </c>
      <c r="V41" s="47" t="str">
        <f aca="false">IF($G41="","",IF($V40="",'Empieza aquí'!$D$8,$V40)+$G41)</f>
        <v/>
      </c>
      <c r="W41" s="47" t="str">
        <f aca="false">IF($V41="","",MAX(IF($W40="",'Empieza aquí'!$D$8,$W40),$V41))</f>
        <v/>
      </c>
      <c r="X41" s="47" t="str">
        <f aca="false">IF($V41="","",$V41-$W41)</f>
        <v/>
      </c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customFormat="false" ht="15" hidden="false" customHeight="true" outlineLevel="0" collapsed="false">
      <c r="A42" s="2"/>
      <c r="B42" s="36"/>
      <c r="C42" s="37"/>
      <c r="D42" s="37"/>
      <c r="E42" s="38"/>
      <c r="F42" s="39"/>
      <c r="G42" s="40" t="str">
        <f aca="false">IF(OR($E42="",$C42="",$D42=""),"",$E42*$D42*IFERROR(INDEX(Listas!$C$6:$C$20,MATCH($C42,Listas!$B$6:$B$20,0)),0)-$D42*IFERROR(INDEX(Listas!$D$6:$D$20,MATCH($C42,Listas!$B$6:$B$20,0)),0))</f>
        <v/>
      </c>
      <c r="H42" s="41" t="str">
        <f aca="false">IF(OR($F42="",$C42="",$D42=""),"",ABS($F42)*$D42*IFERROR(INDEX(Listas!$C$6:$C$20,MATCH($C42,Listas!$B$6:$B$20,0)),0))</f>
        <v/>
      </c>
      <c r="I42" s="42" t="str">
        <f aca="false">IF(OR($E42="",$F42="",$F42=0),"",$E42/ABS($F42))</f>
        <v/>
      </c>
      <c r="J42" s="43" t="str">
        <f aca="false">IF($B42="","",INDEX(Listas!$G$6:$G$12,WEEKDAY($B42,1)))</f>
        <v/>
      </c>
      <c r="K42" s="43" t="str">
        <f aca="false">IFERROR(IF($L42="","",TEXT(IF($L42&lt;1,HOUR($L42),INT($L42)),"00")&amp;":00"),"")</f>
        <v/>
      </c>
      <c r="L42" s="44"/>
      <c r="M42" s="45"/>
      <c r="N42" s="46"/>
      <c r="O42" s="45"/>
      <c r="P42" s="2"/>
      <c r="Q42" s="2"/>
      <c r="R42" s="2"/>
      <c r="S42" s="2"/>
      <c r="T42" s="2"/>
      <c r="U42" s="47" t="str">
        <f aca="false">IF($G42="","",IF($G42&lt;0,IF(N($U41)=0,1,$U41+1),0))</f>
        <v/>
      </c>
      <c r="V42" s="47" t="str">
        <f aca="false">IF($G42="","",IF($V41="",'Empieza aquí'!$D$8,$V41)+$G42)</f>
        <v/>
      </c>
      <c r="W42" s="47" t="str">
        <f aca="false">IF($V42="","",MAX(IF($W41="",'Empieza aquí'!$D$8,$W41),$V42))</f>
        <v/>
      </c>
      <c r="X42" s="47" t="str">
        <f aca="false">IF($V42="","",$V42-$W42)</f>
        <v/>
      </c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customFormat="false" ht="15" hidden="false" customHeight="true" outlineLevel="0" collapsed="false">
      <c r="A43" s="2"/>
      <c r="B43" s="36"/>
      <c r="C43" s="37"/>
      <c r="D43" s="37"/>
      <c r="E43" s="38"/>
      <c r="F43" s="39"/>
      <c r="G43" s="40" t="str">
        <f aca="false">IF(OR($E43="",$C43="",$D43=""),"",$E43*$D43*IFERROR(INDEX(Listas!$C$6:$C$20,MATCH($C43,Listas!$B$6:$B$20,0)),0)-$D43*IFERROR(INDEX(Listas!$D$6:$D$20,MATCH($C43,Listas!$B$6:$B$20,0)),0))</f>
        <v/>
      </c>
      <c r="H43" s="41" t="str">
        <f aca="false">IF(OR($F43="",$C43="",$D43=""),"",ABS($F43)*$D43*IFERROR(INDEX(Listas!$C$6:$C$20,MATCH($C43,Listas!$B$6:$B$20,0)),0))</f>
        <v/>
      </c>
      <c r="I43" s="42" t="str">
        <f aca="false">IF(OR($E43="",$F43="",$F43=0),"",$E43/ABS($F43))</f>
        <v/>
      </c>
      <c r="J43" s="43" t="str">
        <f aca="false">IF($B43="","",INDEX(Listas!$G$6:$G$12,WEEKDAY($B43,1)))</f>
        <v/>
      </c>
      <c r="K43" s="43" t="str">
        <f aca="false">IFERROR(IF($L43="","",TEXT(IF($L43&lt;1,HOUR($L43),INT($L43)),"00")&amp;":00"),"")</f>
        <v/>
      </c>
      <c r="L43" s="44"/>
      <c r="M43" s="45"/>
      <c r="N43" s="46"/>
      <c r="O43" s="45"/>
      <c r="P43" s="2"/>
      <c r="Q43" s="2"/>
      <c r="R43" s="2"/>
      <c r="S43" s="2"/>
      <c r="T43" s="2"/>
      <c r="U43" s="47" t="str">
        <f aca="false">IF($G43="","",IF($G43&lt;0,IF(N($U42)=0,1,$U42+1),0))</f>
        <v/>
      </c>
      <c r="V43" s="47" t="str">
        <f aca="false">IF($G43="","",IF($V42="",'Empieza aquí'!$D$8,$V42)+$G43)</f>
        <v/>
      </c>
      <c r="W43" s="47" t="str">
        <f aca="false">IF($V43="","",MAX(IF($W42="",'Empieza aquí'!$D$8,$W42),$V43))</f>
        <v/>
      </c>
      <c r="X43" s="47" t="str">
        <f aca="false">IF($V43="","",$V43-$W43)</f>
        <v/>
      </c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customFormat="false" ht="15" hidden="false" customHeight="true" outlineLevel="0" collapsed="false">
      <c r="A44" s="2"/>
      <c r="B44" s="36"/>
      <c r="C44" s="37"/>
      <c r="D44" s="37"/>
      <c r="E44" s="38"/>
      <c r="F44" s="39"/>
      <c r="G44" s="40" t="str">
        <f aca="false">IF(OR($E44="",$C44="",$D44=""),"",$E44*$D44*IFERROR(INDEX(Listas!$C$6:$C$20,MATCH($C44,Listas!$B$6:$B$20,0)),0)-$D44*IFERROR(INDEX(Listas!$D$6:$D$20,MATCH($C44,Listas!$B$6:$B$20,0)),0))</f>
        <v/>
      </c>
      <c r="H44" s="41" t="str">
        <f aca="false">IF(OR($F44="",$C44="",$D44=""),"",ABS($F44)*$D44*IFERROR(INDEX(Listas!$C$6:$C$20,MATCH($C44,Listas!$B$6:$B$20,0)),0))</f>
        <v/>
      </c>
      <c r="I44" s="42" t="str">
        <f aca="false">IF(OR($E44="",$F44="",$F44=0),"",$E44/ABS($F44))</f>
        <v/>
      </c>
      <c r="J44" s="43" t="str">
        <f aca="false">IF($B44="","",INDEX(Listas!$G$6:$G$12,WEEKDAY($B44,1)))</f>
        <v/>
      </c>
      <c r="K44" s="43" t="str">
        <f aca="false">IFERROR(IF($L44="","",TEXT(IF($L44&lt;1,HOUR($L44),INT($L44)),"00")&amp;":00"),"")</f>
        <v/>
      </c>
      <c r="L44" s="44"/>
      <c r="M44" s="45"/>
      <c r="N44" s="46"/>
      <c r="O44" s="45"/>
      <c r="P44" s="2"/>
      <c r="Q44" s="2"/>
      <c r="R44" s="2"/>
      <c r="S44" s="2"/>
      <c r="T44" s="2"/>
      <c r="U44" s="47" t="str">
        <f aca="false">IF($G44="","",IF($G44&lt;0,IF(N($U43)=0,1,$U43+1),0))</f>
        <v/>
      </c>
      <c r="V44" s="47" t="str">
        <f aca="false">IF($G44="","",IF($V43="",'Empieza aquí'!$D$8,$V43)+$G44)</f>
        <v/>
      </c>
      <c r="W44" s="47" t="str">
        <f aca="false">IF($V44="","",MAX(IF($W43="",'Empieza aquí'!$D$8,$W43),$V44))</f>
        <v/>
      </c>
      <c r="X44" s="47" t="str">
        <f aca="false">IF($V44="","",$V44-$W44)</f>
        <v/>
      </c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customFormat="false" ht="15" hidden="false" customHeight="true" outlineLevel="0" collapsed="false">
      <c r="A45" s="2"/>
      <c r="B45" s="36"/>
      <c r="C45" s="37"/>
      <c r="D45" s="37"/>
      <c r="E45" s="38"/>
      <c r="F45" s="39"/>
      <c r="G45" s="40" t="str">
        <f aca="false">IF(OR($E45="",$C45="",$D45=""),"",$E45*$D45*IFERROR(INDEX(Listas!$C$6:$C$20,MATCH($C45,Listas!$B$6:$B$20,0)),0)-$D45*IFERROR(INDEX(Listas!$D$6:$D$20,MATCH($C45,Listas!$B$6:$B$20,0)),0))</f>
        <v/>
      </c>
      <c r="H45" s="41" t="str">
        <f aca="false">IF(OR($F45="",$C45="",$D45=""),"",ABS($F45)*$D45*IFERROR(INDEX(Listas!$C$6:$C$20,MATCH($C45,Listas!$B$6:$B$20,0)),0))</f>
        <v/>
      </c>
      <c r="I45" s="42" t="str">
        <f aca="false">IF(OR($E45="",$F45="",$F45=0),"",$E45/ABS($F45))</f>
        <v/>
      </c>
      <c r="J45" s="43" t="str">
        <f aca="false">IF($B45="","",INDEX(Listas!$G$6:$G$12,WEEKDAY($B45,1)))</f>
        <v/>
      </c>
      <c r="K45" s="43" t="str">
        <f aca="false">IFERROR(IF($L45="","",TEXT(IF($L45&lt;1,HOUR($L45),INT($L45)),"00")&amp;":00"),"")</f>
        <v/>
      </c>
      <c r="L45" s="44"/>
      <c r="M45" s="45"/>
      <c r="N45" s="46"/>
      <c r="O45" s="45"/>
      <c r="P45" s="2"/>
      <c r="Q45" s="2"/>
      <c r="R45" s="2"/>
      <c r="S45" s="2"/>
      <c r="T45" s="2"/>
      <c r="U45" s="47" t="str">
        <f aca="false">IF($G45="","",IF($G45&lt;0,IF(N($U44)=0,1,$U44+1),0))</f>
        <v/>
      </c>
      <c r="V45" s="47" t="str">
        <f aca="false">IF($G45="","",IF($V44="",'Empieza aquí'!$D$8,$V44)+$G45)</f>
        <v/>
      </c>
      <c r="W45" s="47" t="str">
        <f aca="false">IF($V45="","",MAX(IF($W44="",'Empieza aquí'!$D$8,$W44),$V45))</f>
        <v/>
      </c>
      <c r="X45" s="47" t="str">
        <f aca="false">IF($V45="","",$V45-$W45)</f>
        <v/>
      </c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customFormat="false" ht="15" hidden="false" customHeight="true" outlineLevel="0" collapsed="false">
      <c r="A46" s="2"/>
      <c r="B46" s="36"/>
      <c r="C46" s="37"/>
      <c r="D46" s="37"/>
      <c r="E46" s="38"/>
      <c r="F46" s="39"/>
      <c r="G46" s="40" t="str">
        <f aca="false">IF(OR($E46="",$C46="",$D46=""),"",$E46*$D46*IFERROR(INDEX(Listas!$C$6:$C$20,MATCH($C46,Listas!$B$6:$B$20,0)),0)-$D46*IFERROR(INDEX(Listas!$D$6:$D$20,MATCH($C46,Listas!$B$6:$B$20,0)),0))</f>
        <v/>
      </c>
      <c r="H46" s="41" t="str">
        <f aca="false">IF(OR($F46="",$C46="",$D46=""),"",ABS($F46)*$D46*IFERROR(INDEX(Listas!$C$6:$C$20,MATCH($C46,Listas!$B$6:$B$20,0)),0))</f>
        <v/>
      </c>
      <c r="I46" s="42" t="str">
        <f aca="false">IF(OR($E46="",$F46="",$F46=0),"",$E46/ABS($F46))</f>
        <v/>
      </c>
      <c r="J46" s="43" t="str">
        <f aca="false">IF($B46="","",INDEX(Listas!$G$6:$G$12,WEEKDAY($B46,1)))</f>
        <v/>
      </c>
      <c r="K46" s="43" t="str">
        <f aca="false">IFERROR(IF($L46="","",TEXT(IF($L46&lt;1,HOUR($L46),INT($L46)),"00")&amp;":00"),"")</f>
        <v/>
      </c>
      <c r="L46" s="44"/>
      <c r="M46" s="45"/>
      <c r="N46" s="46"/>
      <c r="O46" s="45"/>
      <c r="P46" s="2"/>
      <c r="Q46" s="2"/>
      <c r="R46" s="2"/>
      <c r="S46" s="2"/>
      <c r="T46" s="2"/>
      <c r="U46" s="47" t="str">
        <f aca="false">IF($G46="","",IF($G46&lt;0,IF(N($U45)=0,1,$U45+1),0))</f>
        <v/>
      </c>
      <c r="V46" s="47" t="str">
        <f aca="false">IF($G46="","",IF($V45="",'Empieza aquí'!$D$8,$V45)+$G46)</f>
        <v/>
      </c>
      <c r="W46" s="47" t="str">
        <f aca="false">IF($V46="","",MAX(IF($W45="",'Empieza aquí'!$D$8,$W45),$V46))</f>
        <v/>
      </c>
      <c r="X46" s="47" t="str">
        <f aca="false">IF($V46="","",$V46-$W46)</f>
        <v/>
      </c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customFormat="false" ht="15" hidden="false" customHeight="true" outlineLevel="0" collapsed="false">
      <c r="A47" s="2"/>
      <c r="B47" s="36"/>
      <c r="C47" s="37"/>
      <c r="D47" s="37"/>
      <c r="E47" s="38"/>
      <c r="F47" s="39"/>
      <c r="G47" s="40" t="str">
        <f aca="false">IF(OR($E47="",$C47="",$D47=""),"",$E47*$D47*IFERROR(INDEX(Listas!$C$6:$C$20,MATCH($C47,Listas!$B$6:$B$20,0)),0)-$D47*IFERROR(INDEX(Listas!$D$6:$D$20,MATCH($C47,Listas!$B$6:$B$20,0)),0))</f>
        <v/>
      </c>
      <c r="H47" s="41" t="str">
        <f aca="false">IF(OR($F47="",$C47="",$D47=""),"",ABS($F47)*$D47*IFERROR(INDEX(Listas!$C$6:$C$20,MATCH($C47,Listas!$B$6:$B$20,0)),0))</f>
        <v/>
      </c>
      <c r="I47" s="42" t="str">
        <f aca="false">IF(OR($E47="",$F47="",$F47=0),"",$E47/ABS($F47))</f>
        <v/>
      </c>
      <c r="J47" s="43" t="str">
        <f aca="false">IF($B47="","",INDEX(Listas!$G$6:$G$12,WEEKDAY($B47,1)))</f>
        <v/>
      </c>
      <c r="K47" s="43" t="str">
        <f aca="false">IFERROR(IF($L47="","",TEXT(IF($L47&lt;1,HOUR($L47),INT($L47)),"00")&amp;":00"),"")</f>
        <v/>
      </c>
      <c r="L47" s="44"/>
      <c r="M47" s="45"/>
      <c r="N47" s="46"/>
      <c r="O47" s="45"/>
      <c r="P47" s="2"/>
      <c r="Q47" s="2"/>
      <c r="R47" s="2"/>
      <c r="S47" s="2"/>
      <c r="T47" s="2"/>
      <c r="U47" s="47" t="str">
        <f aca="false">IF($G47="","",IF($G47&lt;0,IF(N($U46)=0,1,$U46+1),0))</f>
        <v/>
      </c>
      <c r="V47" s="47" t="str">
        <f aca="false">IF($G47="","",IF($V46="",'Empieza aquí'!$D$8,$V46)+$G47)</f>
        <v/>
      </c>
      <c r="W47" s="47" t="str">
        <f aca="false">IF($V47="","",MAX(IF($W46="",'Empieza aquí'!$D$8,$W46),$V47))</f>
        <v/>
      </c>
      <c r="X47" s="47" t="str">
        <f aca="false">IF($V47="","",$V47-$W47)</f>
        <v/>
      </c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customFormat="false" ht="15" hidden="false" customHeight="true" outlineLevel="0" collapsed="false">
      <c r="A48" s="2"/>
      <c r="B48" s="36"/>
      <c r="C48" s="37"/>
      <c r="D48" s="37"/>
      <c r="E48" s="38"/>
      <c r="F48" s="39"/>
      <c r="G48" s="40" t="str">
        <f aca="false">IF(OR($E48="",$C48="",$D48=""),"",$E48*$D48*IFERROR(INDEX(Listas!$C$6:$C$20,MATCH($C48,Listas!$B$6:$B$20,0)),0)-$D48*IFERROR(INDEX(Listas!$D$6:$D$20,MATCH($C48,Listas!$B$6:$B$20,0)),0))</f>
        <v/>
      </c>
      <c r="H48" s="41" t="str">
        <f aca="false">IF(OR($F48="",$C48="",$D48=""),"",ABS($F48)*$D48*IFERROR(INDEX(Listas!$C$6:$C$20,MATCH($C48,Listas!$B$6:$B$20,0)),0))</f>
        <v/>
      </c>
      <c r="I48" s="42" t="str">
        <f aca="false">IF(OR($E48="",$F48="",$F48=0),"",$E48/ABS($F48))</f>
        <v/>
      </c>
      <c r="J48" s="43" t="str">
        <f aca="false">IF($B48="","",INDEX(Listas!$G$6:$G$12,WEEKDAY($B48,1)))</f>
        <v/>
      </c>
      <c r="K48" s="43" t="str">
        <f aca="false">IFERROR(IF($L48="","",TEXT(IF($L48&lt;1,HOUR($L48),INT($L48)),"00")&amp;":00"),"")</f>
        <v/>
      </c>
      <c r="L48" s="44"/>
      <c r="M48" s="45"/>
      <c r="N48" s="46"/>
      <c r="O48" s="45"/>
      <c r="P48" s="2"/>
      <c r="Q48" s="2"/>
      <c r="R48" s="2"/>
      <c r="S48" s="2"/>
      <c r="T48" s="2"/>
      <c r="U48" s="47" t="str">
        <f aca="false">IF($G48="","",IF($G48&lt;0,IF(N($U47)=0,1,$U47+1),0))</f>
        <v/>
      </c>
      <c r="V48" s="47" t="str">
        <f aca="false">IF($G48="","",IF($V47="",'Empieza aquí'!$D$8,$V47)+$G48)</f>
        <v/>
      </c>
      <c r="W48" s="47" t="str">
        <f aca="false">IF($V48="","",MAX(IF($W47="",'Empieza aquí'!$D$8,$W47),$V48))</f>
        <v/>
      </c>
      <c r="X48" s="47" t="str">
        <f aca="false">IF($V48="","",$V48-$W48)</f>
        <v/>
      </c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customFormat="false" ht="15" hidden="false" customHeight="true" outlineLevel="0" collapsed="false">
      <c r="A49" s="2"/>
      <c r="B49" s="36"/>
      <c r="C49" s="37"/>
      <c r="D49" s="37"/>
      <c r="E49" s="38"/>
      <c r="F49" s="39"/>
      <c r="G49" s="40" t="str">
        <f aca="false">IF(OR($E49="",$C49="",$D49=""),"",$E49*$D49*IFERROR(INDEX(Listas!$C$6:$C$20,MATCH($C49,Listas!$B$6:$B$20,0)),0)-$D49*IFERROR(INDEX(Listas!$D$6:$D$20,MATCH($C49,Listas!$B$6:$B$20,0)),0))</f>
        <v/>
      </c>
      <c r="H49" s="41" t="str">
        <f aca="false">IF(OR($F49="",$C49="",$D49=""),"",ABS($F49)*$D49*IFERROR(INDEX(Listas!$C$6:$C$20,MATCH($C49,Listas!$B$6:$B$20,0)),0))</f>
        <v/>
      </c>
      <c r="I49" s="42" t="str">
        <f aca="false">IF(OR($E49="",$F49="",$F49=0),"",$E49/ABS($F49))</f>
        <v/>
      </c>
      <c r="J49" s="43" t="str">
        <f aca="false">IF($B49="","",INDEX(Listas!$G$6:$G$12,WEEKDAY($B49,1)))</f>
        <v/>
      </c>
      <c r="K49" s="43" t="str">
        <f aca="false">IFERROR(IF($L49="","",TEXT(IF($L49&lt;1,HOUR($L49),INT($L49)),"00")&amp;":00"),"")</f>
        <v/>
      </c>
      <c r="L49" s="44"/>
      <c r="M49" s="45"/>
      <c r="N49" s="46"/>
      <c r="O49" s="45"/>
      <c r="P49" s="2"/>
      <c r="Q49" s="2"/>
      <c r="R49" s="2"/>
      <c r="S49" s="2"/>
      <c r="T49" s="2"/>
      <c r="U49" s="47" t="str">
        <f aca="false">IF($G49="","",IF($G49&lt;0,IF(N($U48)=0,1,$U48+1),0))</f>
        <v/>
      </c>
      <c r="V49" s="47" t="str">
        <f aca="false">IF($G49="","",IF($V48="",'Empieza aquí'!$D$8,$V48)+$G49)</f>
        <v/>
      </c>
      <c r="W49" s="47" t="str">
        <f aca="false">IF($V49="","",MAX(IF($W48="",'Empieza aquí'!$D$8,$W48),$V49))</f>
        <v/>
      </c>
      <c r="X49" s="47" t="str">
        <f aca="false">IF($V49="","",$V49-$W49)</f>
        <v/>
      </c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customFormat="false" ht="15" hidden="false" customHeight="true" outlineLevel="0" collapsed="false">
      <c r="A50" s="2"/>
      <c r="B50" s="36"/>
      <c r="C50" s="37"/>
      <c r="D50" s="37"/>
      <c r="E50" s="38"/>
      <c r="F50" s="39"/>
      <c r="G50" s="40" t="str">
        <f aca="false">IF(OR($E50="",$C50="",$D50=""),"",$E50*$D50*IFERROR(INDEX(Listas!$C$6:$C$20,MATCH($C50,Listas!$B$6:$B$20,0)),0)-$D50*IFERROR(INDEX(Listas!$D$6:$D$20,MATCH($C50,Listas!$B$6:$B$20,0)),0))</f>
        <v/>
      </c>
      <c r="H50" s="41" t="str">
        <f aca="false">IF(OR($F50="",$C50="",$D50=""),"",ABS($F50)*$D50*IFERROR(INDEX(Listas!$C$6:$C$20,MATCH($C50,Listas!$B$6:$B$20,0)),0))</f>
        <v/>
      </c>
      <c r="I50" s="42" t="str">
        <f aca="false">IF(OR($E50="",$F50="",$F50=0),"",$E50/ABS($F50))</f>
        <v/>
      </c>
      <c r="J50" s="43" t="str">
        <f aca="false">IF($B50="","",INDEX(Listas!$G$6:$G$12,WEEKDAY($B50,1)))</f>
        <v/>
      </c>
      <c r="K50" s="43" t="str">
        <f aca="false">IFERROR(IF($L50="","",TEXT(IF($L50&lt;1,HOUR($L50),INT($L50)),"00")&amp;":00"),"")</f>
        <v/>
      </c>
      <c r="L50" s="44"/>
      <c r="M50" s="45"/>
      <c r="N50" s="46"/>
      <c r="O50" s="45"/>
      <c r="P50" s="2"/>
      <c r="Q50" s="2"/>
      <c r="R50" s="2"/>
      <c r="S50" s="2"/>
      <c r="T50" s="2"/>
      <c r="U50" s="47" t="str">
        <f aca="false">IF($G50="","",IF($G50&lt;0,IF(N($U49)=0,1,$U49+1),0))</f>
        <v/>
      </c>
      <c r="V50" s="47" t="str">
        <f aca="false">IF($G50="","",IF($V49="",'Empieza aquí'!$D$8,$V49)+$G50)</f>
        <v/>
      </c>
      <c r="W50" s="47" t="str">
        <f aca="false">IF($V50="","",MAX(IF($W49="",'Empieza aquí'!$D$8,$W49),$V50))</f>
        <v/>
      </c>
      <c r="X50" s="47" t="str">
        <f aca="false">IF($V50="","",$V50-$W50)</f>
        <v/>
      </c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customFormat="false" ht="15" hidden="false" customHeight="true" outlineLevel="0" collapsed="false">
      <c r="A51" s="2"/>
      <c r="B51" s="36"/>
      <c r="C51" s="37"/>
      <c r="D51" s="37"/>
      <c r="E51" s="38"/>
      <c r="F51" s="39"/>
      <c r="G51" s="40" t="str">
        <f aca="false">IF(OR($E51="",$C51="",$D51=""),"",$E51*$D51*IFERROR(INDEX(Listas!$C$6:$C$20,MATCH($C51,Listas!$B$6:$B$20,0)),0)-$D51*IFERROR(INDEX(Listas!$D$6:$D$20,MATCH($C51,Listas!$B$6:$B$20,0)),0))</f>
        <v/>
      </c>
      <c r="H51" s="41" t="str">
        <f aca="false">IF(OR($F51="",$C51="",$D51=""),"",ABS($F51)*$D51*IFERROR(INDEX(Listas!$C$6:$C$20,MATCH($C51,Listas!$B$6:$B$20,0)),0))</f>
        <v/>
      </c>
      <c r="I51" s="42" t="str">
        <f aca="false">IF(OR($E51="",$F51="",$F51=0),"",$E51/ABS($F51))</f>
        <v/>
      </c>
      <c r="J51" s="43" t="str">
        <f aca="false">IF($B51="","",INDEX(Listas!$G$6:$G$12,WEEKDAY($B51,1)))</f>
        <v/>
      </c>
      <c r="K51" s="43" t="str">
        <f aca="false">IFERROR(IF($L51="","",TEXT(IF($L51&lt;1,HOUR($L51),INT($L51)),"00")&amp;":00"),"")</f>
        <v/>
      </c>
      <c r="L51" s="44"/>
      <c r="M51" s="45"/>
      <c r="N51" s="46"/>
      <c r="O51" s="45"/>
      <c r="P51" s="2"/>
      <c r="Q51" s="2"/>
      <c r="R51" s="2"/>
      <c r="S51" s="2"/>
      <c r="T51" s="2"/>
      <c r="U51" s="47" t="str">
        <f aca="false">IF($G51="","",IF($G51&lt;0,IF(N($U50)=0,1,$U50+1),0))</f>
        <v/>
      </c>
      <c r="V51" s="47" t="str">
        <f aca="false">IF($G51="","",IF($V50="",'Empieza aquí'!$D$8,$V50)+$G51)</f>
        <v/>
      </c>
      <c r="W51" s="47" t="str">
        <f aca="false">IF($V51="","",MAX(IF($W50="",'Empieza aquí'!$D$8,$W50),$V51))</f>
        <v/>
      </c>
      <c r="X51" s="47" t="str">
        <f aca="false">IF($V51="","",$V51-$W51)</f>
        <v/>
      </c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customFormat="false" ht="15" hidden="false" customHeight="true" outlineLevel="0" collapsed="false">
      <c r="A52" s="2"/>
      <c r="B52" s="36"/>
      <c r="C52" s="37"/>
      <c r="D52" s="37"/>
      <c r="E52" s="38"/>
      <c r="F52" s="39"/>
      <c r="G52" s="40" t="str">
        <f aca="false">IF(OR($E52="",$C52="",$D52=""),"",$E52*$D52*IFERROR(INDEX(Listas!$C$6:$C$20,MATCH($C52,Listas!$B$6:$B$20,0)),0)-$D52*IFERROR(INDEX(Listas!$D$6:$D$20,MATCH($C52,Listas!$B$6:$B$20,0)),0))</f>
        <v/>
      </c>
      <c r="H52" s="41" t="str">
        <f aca="false">IF(OR($F52="",$C52="",$D52=""),"",ABS($F52)*$D52*IFERROR(INDEX(Listas!$C$6:$C$20,MATCH($C52,Listas!$B$6:$B$20,0)),0))</f>
        <v/>
      </c>
      <c r="I52" s="42" t="str">
        <f aca="false">IF(OR($E52="",$F52="",$F52=0),"",$E52/ABS($F52))</f>
        <v/>
      </c>
      <c r="J52" s="43" t="str">
        <f aca="false">IF($B52="","",INDEX(Listas!$G$6:$G$12,WEEKDAY($B52,1)))</f>
        <v/>
      </c>
      <c r="K52" s="43" t="str">
        <f aca="false">IFERROR(IF($L52="","",TEXT(IF($L52&lt;1,HOUR($L52),INT($L52)),"00")&amp;":00"),"")</f>
        <v/>
      </c>
      <c r="L52" s="44"/>
      <c r="M52" s="45"/>
      <c r="N52" s="46"/>
      <c r="O52" s="45"/>
      <c r="P52" s="2"/>
      <c r="Q52" s="2"/>
      <c r="R52" s="2"/>
      <c r="S52" s="2"/>
      <c r="T52" s="2"/>
      <c r="U52" s="47" t="str">
        <f aca="false">IF($G52="","",IF($G52&lt;0,IF(N($U51)=0,1,$U51+1),0))</f>
        <v/>
      </c>
      <c r="V52" s="47" t="str">
        <f aca="false">IF($G52="","",IF($V51="",'Empieza aquí'!$D$8,$V51)+$G52)</f>
        <v/>
      </c>
      <c r="W52" s="47" t="str">
        <f aca="false">IF($V52="","",MAX(IF($W51="",'Empieza aquí'!$D$8,$W51),$V52))</f>
        <v/>
      </c>
      <c r="X52" s="47" t="str">
        <f aca="false">IF($V52="","",$V52-$W52)</f>
        <v/>
      </c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customFormat="false" ht="15" hidden="false" customHeight="true" outlineLevel="0" collapsed="false">
      <c r="A53" s="2"/>
      <c r="B53" s="36"/>
      <c r="C53" s="37"/>
      <c r="D53" s="37"/>
      <c r="E53" s="38"/>
      <c r="F53" s="39"/>
      <c r="G53" s="40" t="str">
        <f aca="false">IF(OR($E53="",$C53="",$D53=""),"",$E53*$D53*IFERROR(INDEX(Listas!$C$6:$C$20,MATCH($C53,Listas!$B$6:$B$20,0)),0)-$D53*IFERROR(INDEX(Listas!$D$6:$D$20,MATCH($C53,Listas!$B$6:$B$20,0)),0))</f>
        <v/>
      </c>
      <c r="H53" s="41" t="str">
        <f aca="false">IF(OR($F53="",$C53="",$D53=""),"",ABS($F53)*$D53*IFERROR(INDEX(Listas!$C$6:$C$20,MATCH($C53,Listas!$B$6:$B$20,0)),0))</f>
        <v/>
      </c>
      <c r="I53" s="42" t="str">
        <f aca="false">IF(OR($E53="",$F53="",$F53=0),"",$E53/ABS($F53))</f>
        <v/>
      </c>
      <c r="J53" s="43" t="str">
        <f aca="false">IF($B53="","",INDEX(Listas!$G$6:$G$12,WEEKDAY($B53,1)))</f>
        <v/>
      </c>
      <c r="K53" s="43" t="str">
        <f aca="false">IFERROR(IF($L53="","",TEXT(IF($L53&lt;1,HOUR($L53),INT($L53)),"00")&amp;":00"),"")</f>
        <v/>
      </c>
      <c r="L53" s="44"/>
      <c r="M53" s="45"/>
      <c r="N53" s="46"/>
      <c r="O53" s="45"/>
      <c r="P53" s="2"/>
      <c r="Q53" s="2"/>
      <c r="R53" s="2"/>
      <c r="S53" s="2"/>
      <c r="T53" s="2"/>
      <c r="U53" s="47" t="str">
        <f aca="false">IF($G53="","",IF($G53&lt;0,IF(N($U52)=0,1,$U52+1),0))</f>
        <v/>
      </c>
      <c r="V53" s="47" t="str">
        <f aca="false">IF($G53="","",IF($V52="",'Empieza aquí'!$D$8,$V52)+$G53)</f>
        <v/>
      </c>
      <c r="W53" s="47" t="str">
        <f aca="false">IF($V53="","",MAX(IF($W52="",'Empieza aquí'!$D$8,$W52),$V53))</f>
        <v/>
      </c>
      <c r="X53" s="47" t="str">
        <f aca="false">IF($V53="","",$V53-$W53)</f>
        <v/>
      </c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customFormat="false" ht="15" hidden="false" customHeight="true" outlineLevel="0" collapsed="false">
      <c r="A54" s="2"/>
      <c r="B54" s="36"/>
      <c r="C54" s="37"/>
      <c r="D54" s="37"/>
      <c r="E54" s="38"/>
      <c r="F54" s="39"/>
      <c r="G54" s="40" t="str">
        <f aca="false">IF(OR($E54="",$C54="",$D54=""),"",$E54*$D54*IFERROR(INDEX(Listas!$C$6:$C$20,MATCH($C54,Listas!$B$6:$B$20,0)),0)-$D54*IFERROR(INDEX(Listas!$D$6:$D$20,MATCH($C54,Listas!$B$6:$B$20,0)),0))</f>
        <v/>
      </c>
      <c r="H54" s="41" t="str">
        <f aca="false">IF(OR($F54="",$C54="",$D54=""),"",ABS($F54)*$D54*IFERROR(INDEX(Listas!$C$6:$C$20,MATCH($C54,Listas!$B$6:$B$20,0)),0))</f>
        <v/>
      </c>
      <c r="I54" s="42" t="str">
        <f aca="false">IF(OR($E54="",$F54="",$F54=0),"",$E54/ABS($F54))</f>
        <v/>
      </c>
      <c r="J54" s="43" t="str">
        <f aca="false">IF($B54="","",INDEX(Listas!$G$6:$G$12,WEEKDAY($B54,1)))</f>
        <v/>
      </c>
      <c r="K54" s="43" t="str">
        <f aca="false">IFERROR(IF($L54="","",TEXT(IF($L54&lt;1,HOUR($L54),INT($L54)),"00")&amp;":00"),"")</f>
        <v/>
      </c>
      <c r="L54" s="44"/>
      <c r="M54" s="45"/>
      <c r="N54" s="46"/>
      <c r="O54" s="45"/>
      <c r="P54" s="2"/>
      <c r="Q54" s="2"/>
      <c r="R54" s="2"/>
      <c r="S54" s="2"/>
      <c r="T54" s="2"/>
      <c r="U54" s="47" t="str">
        <f aca="false">IF($G54="","",IF($G54&lt;0,IF(N($U53)=0,1,$U53+1),0))</f>
        <v/>
      </c>
      <c r="V54" s="47" t="str">
        <f aca="false">IF($G54="","",IF($V53="",'Empieza aquí'!$D$8,$V53)+$G54)</f>
        <v/>
      </c>
      <c r="W54" s="47" t="str">
        <f aca="false">IF($V54="","",MAX(IF($W53="",'Empieza aquí'!$D$8,$W53),$V54))</f>
        <v/>
      </c>
      <c r="X54" s="47" t="str">
        <f aca="false">IF($V54="","",$V54-$W54)</f>
        <v/>
      </c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customFormat="false" ht="15" hidden="false" customHeight="true" outlineLevel="0" collapsed="false">
      <c r="A55" s="2"/>
      <c r="B55" s="36"/>
      <c r="C55" s="37"/>
      <c r="D55" s="37"/>
      <c r="E55" s="38"/>
      <c r="F55" s="39"/>
      <c r="G55" s="40" t="str">
        <f aca="false">IF(OR($E55="",$C55="",$D55=""),"",$E55*$D55*IFERROR(INDEX(Listas!$C$6:$C$20,MATCH($C55,Listas!$B$6:$B$20,0)),0)-$D55*IFERROR(INDEX(Listas!$D$6:$D$20,MATCH($C55,Listas!$B$6:$B$20,0)),0))</f>
        <v/>
      </c>
      <c r="H55" s="41" t="str">
        <f aca="false">IF(OR($F55="",$C55="",$D55=""),"",ABS($F55)*$D55*IFERROR(INDEX(Listas!$C$6:$C$20,MATCH($C55,Listas!$B$6:$B$20,0)),0))</f>
        <v/>
      </c>
      <c r="I55" s="42" t="str">
        <f aca="false">IF(OR($E55="",$F55="",$F55=0),"",$E55/ABS($F55))</f>
        <v/>
      </c>
      <c r="J55" s="43" t="str">
        <f aca="false">IF($B55="","",INDEX(Listas!$G$6:$G$12,WEEKDAY($B55,1)))</f>
        <v/>
      </c>
      <c r="K55" s="43" t="str">
        <f aca="false">IFERROR(IF($L55="","",TEXT(IF($L55&lt;1,HOUR($L55),INT($L55)),"00")&amp;":00"),"")</f>
        <v/>
      </c>
      <c r="L55" s="44"/>
      <c r="M55" s="45"/>
      <c r="N55" s="46"/>
      <c r="O55" s="45"/>
      <c r="P55" s="2"/>
      <c r="Q55" s="2"/>
      <c r="R55" s="2"/>
      <c r="S55" s="2"/>
      <c r="T55" s="2"/>
      <c r="U55" s="47" t="str">
        <f aca="false">IF($G55="","",IF($G55&lt;0,IF(N($U54)=0,1,$U54+1),0))</f>
        <v/>
      </c>
      <c r="V55" s="47" t="str">
        <f aca="false">IF($G55="","",IF($V54="",'Empieza aquí'!$D$8,$V54)+$G55)</f>
        <v/>
      </c>
      <c r="W55" s="47" t="str">
        <f aca="false">IF($V55="","",MAX(IF($W54="",'Empieza aquí'!$D$8,$W54),$V55))</f>
        <v/>
      </c>
      <c r="X55" s="47" t="str">
        <f aca="false">IF($V55="","",$V55-$W55)</f>
        <v/>
      </c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customFormat="false" ht="15" hidden="false" customHeight="true" outlineLevel="0" collapsed="false">
      <c r="A56" s="2"/>
      <c r="B56" s="36"/>
      <c r="C56" s="37"/>
      <c r="D56" s="37"/>
      <c r="E56" s="38"/>
      <c r="F56" s="39"/>
      <c r="G56" s="40" t="str">
        <f aca="false">IF(OR($E56="",$C56="",$D56=""),"",$E56*$D56*IFERROR(INDEX(Listas!$C$6:$C$20,MATCH($C56,Listas!$B$6:$B$20,0)),0)-$D56*IFERROR(INDEX(Listas!$D$6:$D$20,MATCH($C56,Listas!$B$6:$B$20,0)),0))</f>
        <v/>
      </c>
      <c r="H56" s="41" t="str">
        <f aca="false">IF(OR($F56="",$C56="",$D56=""),"",ABS($F56)*$D56*IFERROR(INDEX(Listas!$C$6:$C$20,MATCH($C56,Listas!$B$6:$B$20,0)),0))</f>
        <v/>
      </c>
      <c r="I56" s="42" t="str">
        <f aca="false">IF(OR($E56="",$F56="",$F56=0),"",$E56/ABS($F56))</f>
        <v/>
      </c>
      <c r="J56" s="43" t="str">
        <f aca="false">IF($B56="","",INDEX(Listas!$G$6:$G$12,WEEKDAY($B56,1)))</f>
        <v/>
      </c>
      <c r="K56" s="43" t="str">
        <f aca="false">IFERROR(IF($L56="","",TEXT(IF($L56&lt;1,HOUR($L56),INT($L56)),"00")&amp;":00"),"")</f>
        <v/>
      </c>
      <c r="L56" s="44"/>
      <c r="M56" s="45"/>
      <c r="N56" s="46"/>
      <c r="O56" s="45"/>
      <c r="P56" s="2"/>
      <c r="Q56" s="2"/>
      <c r="R56" s="2"/>
      <c r="S56" s="2"/>
      <c r="T56" s="2"/>
      <c r="U56" s="47" t="str">
        <f aca="false">IF($G56="","",IF($G56&lt;0,IF(N($U55)=0,1,$U55+1),0))</f>
        <v/>
      </c>
      <c r="V56" s="47" t="str">
        <f aca="false">IF($G56="","",IF($V55="",'Empieza aquí'!$D$8,$V55)+$G56)</f>
        <v/>
      </c>
      <c r="W56" s="47" t="str">
        <f aca="false">IF($V56="","",MAX(IF($W55="",'Empieza aquí'!$D$8,$W55),$V56))</f>
        <v/>
      </c>
      <c r="X56" s="47" t="str">
        <f aca="false">IF($V56="","",$V56-$W56)</f>
        <v/>
      </c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customFormat="false" ht="15" hidden="false" customHeight="true" outlineLevel="0" collapsed="false">
      <c r="A57" s="2"/>
      <c r="B57" s="36"/>
      <c r="C57" s="37"/>
      <c r="D57" s="37"/>
      <c r="E57" s="38"/>
      <c r="F57" s="39"/>
      <c r="G57" s="40" t="str">
        <f aca="false">IF(OR($E57="",$C57="",$D57=""),"",$E57*$D57*IFERROR(INDEX(Listas!$C$6:$C$20,MATCH($C57,Listas!$B$6:$B$20,0)),0)-$D57*IFERROR(INDEX(Listas!$D$6:$D$20,MATCH($C57,Listas!$B$6:$B$20,0)),0))</f>
        <v/>
      </c>
      <c r="H57" s="41" t="str">
        <f aca="false">IF(OR($F57="",$C57="",$D57=""),"",ABS($F57)*$D57*IFERROR(INDEX(Listas!$C$6:$C$20,MATCH($C57,Listas!$B$6:$B$20,0)),0))</f>
        <v/>
      </c>
      <c r="I57" s="42" t="str">
        <f aca="false">IF(OR($E57="",$F57="",$F57=0),"",$E57/ABS($F57))</f>
        <v/>
      </c>
      <c r="J57" s="43" t="str">
        <f aca="false">IF($B57="","",INDEX(Listas!$G$6:$G$12,WEEKDAY($B57,1)))</f>
        <v/>
      </c>
      <c r="K57" s="43" t="str">
        <f aca="false">IFERROR(IF($L57="","",TEXT(IF($L57&lt;1,HOUR($L57),INT($L57)),"00")&amp;":00"),"")</f>
        <v/>
      </c>
      <c r="L57" s="44"/>
      <c r="M57" s="45"/>
      <c r="N57" s="46"/>
      <c r="O57" s="45"/>
      <c r="P57" s="2"/>
      <c r="Q57" s="2"/>
      <c r="R57" s="2"/>
      <c r="S57" s="2"/>
      <c r="T57" s="2"/>
      <c r="U57" s="47" t="str">
        <f aca="false">IF($G57="","",IF($G57&lt;0,IF(N($U56)=0,1,$U56+1),0))</f>
        <v/>
      </c>
      <c r="V57" s="47" t="str">
        <f aca="false">IF($G57="","",IF($V56="",'Empieza aquí'!$D$8,$V56)+$G57)</f>
        <v/>
      </c>
      <c r="W57" s="47" t="str">
        <f aca="false">IF($V57="","",MAX(IF($W56="",'Empieza aquí'!$D$8,$W56),$V57))</f>
        <v/>
      </c>
      <c r="X57" s="47" t="str">
        <f aca="false">IF($V57="","",$V57-$W57)</f>
        <v/>
      </c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customFormat="false" ht="15" hidden="false" customHeight="true" outlineLevel="0" collapsed="false">
      <c r="A58" s="2"/>
      <c r="B58" s="36"/>
      <c r="C58" s="37"/>
      <c r="D58" s="37"/>
      <c r="E58" s="38"/>
      <c r="F58" s="39"/>
      <c r="G58" s="40" t="str">
        <f aca="false">IF(OR($E58="",$C58="",$D58=""),"",$E58*$D58*IFERROR(INDEX(Listas!$C$6:$C$20,MATCH($C58,Listas!$B$6:$B$20,0)),0)-$D58*IFERROR(INDEX(Listas!$D$6:$D$20,MATCH($C58,Listas!$B$6:$B$20,0)),0))</f>
        <v/>
      </c>
      <c r="H58" s="41" t="str">
        <f aca="false">IF(OR($F58="",$C58="",$D58=""),"",ABS($F58)*$D58*IFERROR(INDEX(Listas!$C$6:$C$20,MATCH($C58,Listas!$B$6:$B$20,0)),0))</f>
        <v/>
      </c>
      <c r="I58" s="42" t="str">
        <f aca="false">IF(OR($E58="",$F58="",$F58=0),"",$E58/ABS($F58))</f>
        <v/>
      </c>
      <c r="J58" s="43" t="str">
        <f aca="false">IF($B58="","",INDEX(Listas!$G$6:$G$12,WEEKDAY($B58,1)))</f>
        <v/>
      </c>
      <c r="K58" s="43" t="str">
        <f aca="false">IFERROR(IF($L58="","",TEXT(IF($L58&lt;1,HOUR($L58),INT($L58)),"00")&amp;":00"),"")</f>
        <v/>
      </c>
      <c r="L58" s="44"/>
      <c r="M58" s="45"/>
      <c r="N58" s="46"/>
      <c r="O58" s="45"/>
      <c r="P58" s="2"/>
      <c r="Q58" s="2"/>
      <c r="R58" s="2"/>
      <c r="S58" s="2"/>
      <c r="T58" s="2"/>
      <c r="U58" s="47" t="str">
        <f aca="false">IF($G58="","",IF($G58&lt;0,IF(N($U57)=0,1,$U57+1),0))</f>
        <v/>
      </c>
      <c r="V58" s="47" t="str">
        <f aca="false">IF($G58="","",IF($V57="",'Empieza aquí'!$D$8,$V57)+$G58)</f>
        <v/>
      </c>
      <c r="W58" s="47" t="str">
        <f aca="false">IF($V58="","",MAX(IF($W57="",'Empieza aquí'!$D$8,$W57),$V58))</f>
        <v/>
      </c>
      <c r="X58" s="47" t="str">
        <f aca="false">IF($V58="","",$V58-$W58)</f>
        <v/>
      </c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customFormat="false" ht="15" hidden="false" customHeight="true" outlineLevel="0" collapsed="false">
      <c r="A59" s="2"/>
      <c r="B59" s="36"/>
      <c r="C59" s="37"/>
      <c r="D59" s="37"/>
      <c r="E59" s="38"/>
      <c r="F59" s="39"/>
      <c r="G59" s="40" t="str">
        <f aca="false">IF(OR($E59="",$C59="",$D59=""),"",$E59*$D59*IFERROR(INDEX(Listas!$C$6:$C$20,MATCH($C59,Listas!$B$6:$B$20,0)),0)-$D59*IFERROR(INDEX(Listas!$D$6:$D$20,MATCH($C59,Listas!$B$6:$B$20,0)),0))</f>
        <v/>
      </c>
      <c r="H59" s="41" t="str">
        <f aca="false">IF(OR($F59="",$C59="",$D59=""),"",ABS($F59)*$D59*IFERROR(INDEX(Listas!$C$6:$C$20,MATCH($C59,Listas!$B$6:$B$20,0)),0))</f>
        <v/>
      </c>
      <c r="I59" s="42" t="str">
        <f aca="false">IF(OR($E59="",$F59="",$F59=0),"",$E59/ABS($F59))</f>
        <v/>
      </c>
      <c r="J59" s="43" t="str">
        <f aca="false">IF($B59="","",INDEX(Listas!$G$6:$G$12,WEEKDAY($B59,1)))</f>
        <v/>
      </c>
      <c r="K59" s="43" t="str">
        <f aca="false">IFERROR(IF($L59="","",TEXT(IF($L59&lt;1,HOUR($L59),INT($L59)),"00")&amp;":00"),"")</f>
        <v/>
      </c>
      <c r="L59" s="44"/>
      <c r="M59" s="45"/>
      <c r="N59" s="46"/>
      <c r="O59" s="45"/>
      <c r="P59" s="2"/>
      <c r="Q59" s="2"/>
      <c r="R59" s="2"/>
      <c r="S59" s="2"/>
      <c r="T59" s="2"/>
      <c r="U59" s="47" t="str">
        <f aca="false">IF($G59="","",IF($G59&lt;0,IF(N($U58)=0,1,$U58+1),0))</f>
        <v/>
      </c>
      <c r="V59" s="47" t="str">
        <f aca="false">IF($G59="","",IF($V58="",'Empieza aquí'!$D$8,$V58)+$G59)</f>
        <v/>
      </c>
      <c r="W59" s="47" t="str">
        <f aca="false">IF($V59="","",MAX(IF($W58="",'Empieza aquí'!$D$8,$W58),$V59))</f>
        <v/>
      </c>
      <c r="X59" s="47" t="str">
        <f aca="false">IF($V59="","",$V59-$W59)</f>
        <v/>
      </c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customFormat="false" ht="15" hidden="false" customHeight="true" outlineLevel="0" collapsed="false">
      <c r="A60" s="2"/>
      <c r="B60" s="36"/>
      <c r="C60" s="37"/>
      <c r="D60" s="37"/>
      <c r="E60" s="38"/>
      <c r="F60" s="39"/>
      <c r="G60" s="40" t="str">
        <f aca="false">IF(OR($E60="",$C60="",$D60=""),"",$E60*$D60*IFERROR(INDEX(Listas!$C$6:$C$20,MATCH($C60,Listas!$B$6:$B$20,0)),0)-$D60*IFERROR(INDEX(Listas!$D$6:$D$20,MATCH($C60,Listas!$B$6:$B$20,0)),0))</f>
        <v/>
      </c>
      <c r="H60" s="41" t="str">
        <f aca="false">IF(OR($F60="",$C60="",$D60=""),"",ABS($F60)*$D60*IFERROR(INDEX(Listas!$C$6:$C$20,MATCH($C60,Listas!$B$6:$B$20,0)),0))</f>
        <v/>
      </c>
      <c r="I60" s="42" t="str">
        <f aca="false">IF(OR($E60="",$F60="",$F60=0),"",$E60/ABS($F60))</f>
        <v/>
      </c>
      <c r="J60" s="43" t="str">
        <f aca="false">IF($B60="","",INDEX(Listas!$G$6:$G$12,WEEKDAY($B60,1)))</f>
        <v/>
      </c>
      <c r="K60" s="43" t="str">
        <f aca="false">IFERROR(IF($L60="","",TEXT(IF($L60&lt;1,HOUR($L60),INT($L60)),"00")&amp;":00"),"")</f>
        <v/>
      </c>
      <c r="L60" s="44"/>
      <c r="M60" s="45"/>
      <c r="N60" s="46"/>
      <c r="O60" s="45"/>
      <c r="P60" s="2"/>
      <c r="Q60" s="2"/>
      <c r="R60" s="2"/>
      <c r="S60" s="2"/>
      <c r="T60" s="2"/>
      <c r="U60" s="47" t="str">
        <f aca="false">IF($G60="","",IF($G60&lt;0,IF(N($U59)=0,1,$U59+1),0))</f>
        <v/>
      </c>
      <c r="V60" s="47" t="str">
        <f aca="false">IF($G60="","",IF($V59="",'Empieza aquí'!$D$8,$V59)+$G60)</f>
        <v/>
      </c>
      <c r="W60" s="47" t="str">
        <f aca="false">IF($V60="","",MAX(IF($W59="",'Empieza aquí'!$D$8,$W59),$V60))</f>
        <v/>
      </c>
      <c r="X60" s="47" t="str">
        <f aca="false">IF($V60="","",$V60-$W60)</f>
        <v/>
      </c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customFormat="false" ht="15" hidden="false" customHeight="true" outlineLevel="0" collapsed="false">
      <c r="A61" s="2"/>
      <c r="B61" s="36"/>
      <c r="C61" s="37"/>
      <c r="D61" s="37"/>
      <c r="E61" s="38"/>
      <c r="F61" s="39"/>
      <c r="G61" s="40" t="str">
        <f aca="false">IF(OR($E61="",$C61="",$D61=""),"",$E61*$D61*IFERROR(INDEX(Listas!$C$6:$C$20,MATCH($C61,Listas!$B$6:$B$20,0)),0)-$D61*IFERROR(INDEX(Listas!$D$6:$D$20,MATCH($C61,Listas!$B$6:$B$20,0)),0))</f>
        <v/>
      </c>
      <c r="H61" s="41" t="str">
        <f aca="false">IF(OR($F61="",$C61="",$D61=""),"",ABS($F61)*$D61*IFERROR(INDEX(Listas!$C$6:$C$20,MATCH($C61,Listas!$B$6:$B$20,0)),0))</f>
        <v/>
      </c>
      <c r="I61" s="42" t="str">
        <f aca="false">IF(OR($E61="",$F61="",$F61=0),"",$E61/ABS($F61))</f>
        <v/>
      </c>
      <c r="J61" s="43" t="str">
        <f aca="false">IF($B61="","",INDEX(Listas!$G$6:$G$12,WEEKDAY($B61,1)))</f>
        <v/>
      </c>
      <c r="K61" s="43" t="str">
        <f aca="false">IFERROR(IF($L61="","",TEXT(IF($L61&lt;1,HOUR($L61),INT($L61)),"00")&amp;":00"),"")</f>
        <v/>
      </c>
      <c r="L61" s="44"/>
      <c r="M61" s="45"/>
      <c r="N61" s="46"/>
      <c r="O61" s="45"/>
      <c r="P61" s="2"/>
      <c r="Q61" s="2"/>
      <c r="R61" s="2"/>
      <c r="S61" s="2"/>
      <c r="T61" s="2"/>
      <c r="U61" s="47" t="str">
        <f aca="false">IF($G61="","",IF($G61&lt;0,IF(N($U60)=0,1,$U60+1),0))</f>
        <v/>
      </c>
      <c r="V61" s="47" t="str">
        <f aca="false">IF($G61="","",IF($V60="",'Empieza aquí'!$D$8,$V60)+$G61)</f>
        <v/>
      </c>
      <c r="W61" s="47" t="str">
        <f aca="false">IF($V61="","",MAX(IF($W60="",'Empieza aquí'!$D$8,$W60),$V61))</f>
        <v/>
      </c>
      <c r="X61" s="47" t="str">
        <f aca="false">IF($V61="","",$V61-$W61)</f>
        <v/>
      </c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customFormat="false" ht="15" hidden="false" customHeight="true" outlineLevel="0" collapsed="false">
      <c r="A62" s="2"/>
      <c r="B62" s="36"/>
      <c r="C62" s="37"/>
      <c r="D62" s="37"/>
      <c r="E62" s="38"/>
      <c r="F62" s="39"/>
      <c r="G62" s="40" t="str">
        <f aca="false">IF(OR($E62="",$C62="",$D62=""),"",$E62*$D62*IFERROR(INDEX(Listas!$C$6:$C$20,MATCH($C62,Listas!$B$6:$B$20,0)),0)-$D62*IFERROR(INDEX(Listas!$D$6:$D$20,MATCH($C62,Listas!$B$6:$B$20,0)),0))</f>
        <v/>
      </c>
      <c r="H62" s="41" t="str">
        <f aca="false">IF(OR($F62="",$C62="",$D62=""),"",ABS($F62)*$D62*IFERROR(INDEX(Listas!$C$6:$C$20,MATCH($C62,Listas!$B$6:$B$20,0)),0))</f>
        <v/>
      </c>
      <c r="I62" s="42" t="str">
        <f aca="false">IF(OR($E62="",$F62="",$F62=0),"",$E62/ABS($F62))</f>
        <v/>
      </c>
      <c r="J62" s="43" t="str">
        <f aca="false">IF($B62="","",INDEX(Listas!$G$6:$G$12,WEEKDAY($B62,1)))</f>
        <v/>
      </c>
      <c r="K62" s="43" t="str">
        <f aca="false">IFERROR(IF($L62="","",TEXT(IF($L62&lt;1,HOUR($L62),INT($L62)),"00")&amp;":00"),"")</f>
        <v/>
      </c>
      <c r="L62" s="44"/>
      <c r="M62" s="45"/>
      <c r="N62" s="46"/>
      <c r="O62" s="45"/>
      <c r="P62" s="2"/>
      <c r="Q62" s="2"/>
      <c r="R62" s="2"/>
      <c r="S62" s="2"/>
      <c r="T62" s="2"/>
      <c r="U62" s="47" t="str">
        <f aca="false">IF($G62="","",IF($G62&lt;0,IF(N($U61)=0,1,$U61+1),0))</f>
        <v/>
      </c>
      <c r="V62" s="47" t="str">
        <f aca="false">IF($G62="","",IF($V61="",'Empieza aquí'!$D$8,$V61)+$G62)</f>
        <v/>
      </c>
      <c r="W62" s="47" t="str">
        <f aca="false">IF($V62="","",MAX(IF($W61="",'Empieza aquí'!$D$8,$W61),$V62))</f>
        <v/>
      </c>
      <c r="X62" s="47" t="str">
        <f aca="false">IF($V62="","",$V62-$W62)</f>
        <v/>
      </c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customFormat="false" ht="15" hidden="false" customHeight="true" outlineLevel="0" collapsed="false">
      <c r="A63" s="2"/>
      <c r="B63" s="36"/>
      <c r="C63" s="37"/>
      <c r="D63" s="37"/>
      <c r="E63" s="38"/>
      <c r="F63" s="39"/>
      <c r="G63" s="40" t="str">
        <f aca="false">IF(OR($E63="",$C63="",$D63=""),"",$E63*$D63*IFERROR(INDEX(Listas!$C$6:$C$20,MATCH($C63,Listas!$B$6:$B$20,0)),0)-$D63*IFERROR(INDEX(Listas!$D$6:$D$20,MATCH($C63,Listas!$B$6:$B$20,0)),0))</f>
        <v/>
      </c>
      <c r="H63" s="41" t="str">
        <f aca="false">IF(OR($F63="",$C63="",$D63=""),"",ABS($F63)*$D63*IFERROR(INDEX(Listas!$C$6:$C$20,MATCH($C63,Listas!$B$6:$B$20,0)),0))</f>
        <v/>
      </c>
      <c r="I63" s="42" t="str">
        <f aca="false">IF(OR($E63="",$F63="",$F63=0),"",$E63/ABS($F63))</f>
        <v/>
      </c>
      <c r="J63" s="43" t="str">
        <f aca="false">IF($B63="","",INDEX(Listas!$G$6:$G$12,WEEKDAY($B63,1)))</f>
        <v/>
      </c>
      <c r="K63" s="43" t="str">
        <f aca="false">IFERROR(IF($L63="","",TEXT(IF($L63&lt;1,HOUR($L63),INT($L63)),"00")&amp;":00"),"")</f>
        <v/>
      </c>
      <c r="L63" s="44"/>
      <c r="M63" s="45"/>
      <c r="N63" s="46"/>
      <c r="O63" s="45"/>
      <c r="P63" s="2"/>
      <c r="Q63" s="2"/>
      <c r="R63" s="2"/>
      <c r="S63" s="2"/>
      <c r="T63" s="2"/>
      <c r="U63" s="47" t="str">
        <f aca="false">IF($G63="","",IF($G63&lt;0,IF(N($U62)=0,1,$U62+1),0))</f>
        <v/>
      </c>
      <c r="V63" s="47" t="str">
        <f aca="false">IF($G63="","",IF($V62="",'Empieza aquí'!$D$8,$V62)+$G63)</f>
        <v/>
      </c>
      <c r="W63" s="47" t="str">
        <f aca="false">IF($V63="","",MAX(IF($W62="",'Empieza aquí'!$D$8,$W62),$V63))</f>
        <v/>
      </c>
      <c r="X63" s="47" t="str">
        <f aca="false">IF($V63="","",$V63-$W63)</f>
        <v/>
      </c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customFormat="false" ht="15" hidden="false" customHeight="true" outlineLevel="0" collapsed="false">
      <c r="A64" s="2"/>
      <c r="B64" s="36"/>
      <c r="C64" s="37"/>
      <c r="D64" s="37"/>
      <c r="E64" s="38"/>
      <c r="F64" s="39"/>
      <c r="G64" s="40" t="str">
        <f aca="false">IF(OR($E64="",$C64="",$D64=""),"",$E64*$D64*IFERROR(INDEX(Listas!$C$6:$C$20,MATCH($C64,Listas!$B$6:$B$20,0)),0)-$D64*IFERROR(INDEX(Listas!$D$6:$D$20,MATCH($C64,Listas!$B$6:$B$20,0)),0))</f>
        <v/>
      </c>
      <c r="H64" s="41" t="str">
        <f aca="false">IF(OR($F64="",$C64="",$D64=""),"",ABS($F64)*$D64*IFERROR(INDEX(Listas!$C$6:$C$20,MATCH($C64,Listas!$B$6:$B$20,0)),0))</f>
        <v/>
      </c>
      <c r="I64" s="42" t="str">
        <f aca="false">IF(OR($E64="",$F64="",$F64=0),"",$E64/ABS($F64))</f>
        <v/>
      </c>
      <c r="J64" s="43" t="str">
        <f aca="false">IF($B64="","",INDEX(Listas!$G$6:$G$12,WEEKDAY($B64,1)))</f>
        <v/>
      </c>
      <c r="K64" s="43" t="str">
        <f aca="false">IFERROR(IF($L64="","",TEXT(IF($L64&lt;1,HOUR($L64),INT($L64)),"00")&amp;":00"),"")</f>
        <v/>
      </c>
      <c r="L64" s="44"/>
      <c r="M64" s="45"/>
      <c r="N64" s="46"/>
      <c r="O64" s="45"/>
      <c r="P64" s="2"/>
      <c r="Q64" s="2"/>
      <c r="R64" s="2"/>
      <c r="S64" s="2"/>
      <c r="T64" s="2"/>
      <c r="U64" s="47" t="str">
        <f aca="false">IF($G64="","",IF($G64&lt;0,IF(N($U63)=0,1,$U63+1),0))</f>
        <v/>
      </c>
      <c r="V64" s="47" t="str">
        <f aca="false">IF($G64="","",IF($V63="",'Empieza aquí'!$D$8,$V63)+$G64)</f>
        <v/>
      </c>
      <c r="W64" s="47" t="str">
        <f aca="false">IF($V64="","",MAX(IF($W63="",'Empieza aquí'!$D$8,$W63),$V64))</f>
        <v/>
      </c>
      <c r="X64" s="47" t="str">
        <f aca="false">IF($V64="","",$V64-$W64)</f>
        <v/>
      </c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customFormat="false" ht="15" hidden="false" customHeight="true" outlineLevel="0" collapsed="false">
      <c r="A65" s="2"/>
      <c r="B65" s="36"/>
      <c r="C65" s="37"/>
      <c r="D65" s="37"/>
      <c r="E65" s="38"/>
      <c r="F65" s="39"/>
      <c r="G65" s="40" t="str">
        <f aca="false">IF(OR($E65="",$C65="",$D65=""),"",$E65*$D65*IFERROR(INDEX(Listas!$C$6:$C$20,MATCH($C65,Listas!$B$6:$B$20,0)),0)-$D65*IFERROR(INDEX(Listas!$D$6:$D$20,MATCH($C65,Listas!$B$6:$B$20,0)),0))</f>
        <v/>
      </c>
      <c r="H65" s="41" t="str">
        <f aca="false">IF(OR($F65="",$C65="",$D65=""),"",ABS($F65)*$D65*IFERROR(INDEX(Listas!$C$6:$C$20,MATCH($C65,Listas!$B$6:$B$20,0)),0))</f>
        <v/>
      </c>
      <c r="I65" s="42" t="str">
        <f aca="false">IF(OR($E65="",$F65="",$F65=0),"",$E65/ABS($F65))</f>
        <v/>
      </c>
      <c r="J65" s="43" t="str">
        <f aca="false">IF($B65="","",INDEX(Listas!$G$6:$G$12,WEEKDAY($B65,1)))</f>
        <v/>
      </c>
      <c r="K65" s="43" t="str">
        <f aca="false">IFERROR(IF($L65="","",TEXT(IF($L65&lt;1,HOUR($L65),INT($L65)),"00")&amp;":00"),"")</f>
        <v/>
      </c>
      <c r="L65" s="44"/>
      <c r="M65" s="45"/>
      <c r="N65" s="46"/>
      <c r="O65" s="45"/>
      <c r="P65" s="2"/>
      <c r="Q65" s="2"/>
      <c r="R65" s="2"/>
      <c r="S65" s="2"/>
      <c r="T65" s="2"/>
      <c r="U65" s="47" t="str">
        <f aca="false">IF($G65="","",IF($G65&lt;0,IF(N($U64)=0,1,$U64+1),0))</f>
        <v/>
      </c>
      <c r="V65" s="47" t="str">
        <f aca="false">IF($G65="","",IF($V64="",'Empieza aquí'!$D$8,$V64)+$G65)</f>
        <v/>
      </c>
      <c r="W65" s="47" t="str">
        <f aca="false">IF($V65="","",MAX(IF($W64="",'Empieza aquí'!$D$8,$W64),$V65))</f>
        <v/>
      </c>
      <c r="X65" s="47" t="str">
        <f aca="false">IF($V65="","",$V65-$W65)</f>
        <v/>
      </c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customFormat="false" ht="15" hidden="false" customHeight="true" outlineLevel="0" collapsed="false">
      <c r="A66" s="2"/>
      <c r="B66" s="36"/>
      <c r="C66" s="37"/>
      <c r="D66" s="37"/>
      <c r="E66" s="38"/>
      <c r="F66" s="39"/>
      <c r="G66" s="40" t="str">
        <f aca="false">IF(OR($E66="",$C66="",$D66=""),"",$E66*$D66*IFERROR(INDEX(Listas!$C$6:$C$20,MATCH($C66,Listas!$B$6:$B$20,0)),0)-$D66*IFERROR(INDEX(Listas!$D$6:$D$20,MATCH($C66,Listas!$B$6:$B$20,0)),0))</f>
        <v/>
      </c>
      <c r="H66" s="41" t="str">
        <f aca="false">IF(OR($F66="",$C66="",$D66=""),"",ABS($F66)*$D66*IFERROR(INDEX(Listas!$C$6:$C$20,MATCH($C66,Listas!$B$6:$B$20,0)),0))</f>
        <v/>
      </c>
      <c r="I66" s="42" t="str">
        <f aca="false">IF(OR($E66="",$F66="",$F66=0),"",$E66/ABS($F66))</f>
        <v/>
      </c>
      <c r="J66" s="43" t="str">
        <f aca="false">IF($B66="","",INDEX(Listas!$G$6:$G$12,WEEKDAY($B66,1)))</f>
        <v/>
      </c>
      <c r="K66" s="43" t="str">
        <f aca="false">IFERROR(IF($L66="","",TEXT(IF($L66&lt;1,HOUR($L66),INT($L66)),"00")&amp;":00"),"")</f>
        <v/>
      </c>
      <c r="L66" s="44"/>
      <c r="M66" s="45"/>
      <c r="N66" s="46"/>
      <c r="O66" s="45"/>
      <c r="P66" s="2"/>
      <c r="Q66" s="2"/>
      <c r="R66" s="2"/>
      <c r="S66" s="2"/>
      <c r="T66" s="2"/>
      <c r="U66" s="47" t="str">
        <f aca="false">IF($G66="","",IF($G66&lt;0,IF(N($U65)=0,1,$U65+1),0))</f>
        <v/>
      </c>
      <c r="V66" s="47" t="str">
        <f aca="false">IF($G66="","",IF($V65="",'Empieza aquí'!$D$8,$V65)+$G66)</f>
        <v/>
      </c>
      <c r="W66" s="47" t="str">
        <f aca="false">IF($V66="","",MAX(IF($W65="",'Empieza aquí'!$D$8,$W65),$V66))</f>
        <v/>
      </c>
      <c r="X66" s="47" t="str">
        <f aca="false">IF($V66="","",$V66-$W66)</f>
        <v/>
      </c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customFormat="false" ht="15" hidden="false" customHeight="true" outlineLevel="0" collapsed="false">
      <c r="A67" s="2"/>
      <c r="B67" s="36"/>
      <c r="C67" s="37"/>
      <c r="D67" s="37"/>
      <c r="E67" s="38"/>
      <c r="F67" s="39"/>
      <c r="G67" s="40" t="str">
        <f aca="false">IF(OR($E67="",$C67="",$D67=""),"",$E67*$D67*IFERROR(INDEX(Listas!$C$6:$C$20,MATCH($C67,Listas!$B$6:$B$20,0)),0)-$D67*IFERROR(INDEX(Listas!$D$6:$D$20,MATCH($C67,Listas!$B$6:$B$20,0)),0))</f>
        <v/>
      </c>
      <c r="H67" s="41" t="str">
        <f aca="false">IF(OR($F67="",$C67="",$D67=""),"",ABS($F67)*$D67*IFERROR(INDEX(Listas!$C$6:$C$20,MATCH($C67,Listas!$B$6:$B$20,0)),0))</f>
        <v/>
      </c>
      <c r="I67" s="42" t="str">
        <f aca="false">IF(OR($E67="",$F67="",$F67=0),"",$E67/ABS($F67))</f>
        <v/>
      </c>
      <c r="J67" s="43" t="str">
        <f aca="false">IF($B67="","",INDEX(Listas!$G$6:$G$12,WEEKDAY($B67,1)))</f>
        <v/>
      </c>
      <c r="K67" s="43" t="str">
        <f aca="false">IFERROR(IF($L67="","",TEXT(IF($L67&lt;1,HOUR($L67),INT($L67)),"00")&amp;":00"),"")</f>
        <v/>
      </c>
      <c r="L67" s="44"/>
      <c r="M67" s="45"/>
      <c r="N67" s="46"/>
      <c r="O67" s="45"/>
      <c r="P67" s="2"/>
      <c r="Q67" s="2"/>
      <c r="R67" s="2"/>
      <c r="S67" s="2"/>
      <c r="T67" s="2"/>
      <c r="U67" s="47" t="str">
        <f aca="false">IF($G67="","",IF($G67&lt;0,IF(N($U66)=0,1,$U66+1),0))</f>
        <v/>
      </c>
      <c r="V67" s="47" t="str">
        <f aca="false">IF($G67="","",IF($V66="",'Empieza aquí'!$D$8,$V66)+$G67)</f>
        <v/>
      </c>
      <c r="W67" s="47" t="str">
        <f aca="false">IF($V67="","",MAX(IF($W66="",'Empieza aquí'!$D$8,$W66),$V67))</f>
        <v/>
      </c>
      <c r="X67" s="47" t="str">
        <f aca="false">IF($V67="","",$V67-$W67)</f>
        <v/>
      </c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customFormat="false" ht="15" hidden="false" customHeight="true" outlineLevel="0" collapsed="false">
      <c r="A68" s="2"/>
      <c r="B68" s="36"/>
      <c r="C68" s="37"/>
      <c r="D68" s="37"/>
      <c r="E68" s="38"/>
      <c r="F68" s="39"/>
      <c r="G68" s="40" t="str">
        <f aca="false">IF(OR($E68="",$C68="",$D68=""),"",$E68*$D68*IFERROR(INDEX(Listas!$C$6:$C$20,MATCH($C68,Listas!$B$6:$B$20,0)),0)-$D68*IFERROR(INDEX(Listas!$D$6:$D$20,MATCH($C68,Listas!$B$6:$B$20,0)),0))</f>
        <v/>
      </c>
      <c r="H68" s="41" t="str">
        <f aca="false">IF(OR($F68="",$C68="",$D68=""),"",ABS($F68)*$D68*IFERROR(INDEX(Listas!$C$6:$C$20,MATCH($C68,Listas!$B$6:$B$20,0)),0))</f>
        <v/>
      </c>
      <c r="I68" s="42" t="str">
        <f aca="false">IF(OR($E68="",$F68="",$F68=0),"",$E68/ABS($F68))</f>
        <v/>
      </c>
      <c r="J68" s="43" t="str">
        <f aca="false">IF($B68="","",INDEX(Listas!$G$6:$G$12,WEEKDAY($B68,1)))</f>
        <v/>
      </c>
      <c r="K68" s="43" t="str">
        <f aca="false">IFERROR(IF($L68="","",TEXT(IF($L68&lt;1,HOUR($L68),INT($L68)),"00")&amp;":00"),"")</f>
        <v/>
      </c>
      <c r="L68" s="44"/>
      <c r="M68" s="45"/>
      <c r="N68" s="46"/>
      <c r="O68" s="45"/>
      <c r="P68" s="2"/>
      <c r="Q68" s="2"/>
      <c r="R68" s="2"/>
      <c r="S68" s="2"/>
      <c r="T68" s="2"/>
      <c r="U68" s="47" t="str">
        <f aca="false">IF($G68="","",IF($G68&lt;0,IF(N($U67)=0,1,$U67+1),0))</f>
        <v/>
      </c>
      <c r="V68" s="47" t="str">
        <f aca="false">IF($G68="","",IF($V67="",'Empieza aquí'!$D$8,$V67)+$G68)</f>
        <v/>
      </c>
      <c r="W68" s="47" t="str">
        <f aca="false">IF($V68="","",MAX(IF($W67="",'Empieza aquí'!$D$8,$W67),$V68))</f>
        <v/>
      </c>
      <c r="X68" s="47" t="str">
        <f aca="false">IF($V68="","",$V68-$W68)</f>
        <v/>
      </c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customFormat="false" ht="15" hidden="false" customHeight="true" outlineLevel="0" collapsed="false">
      <c r="A69" s="2"/>
      <c r="B69" s="36"/>
      <c r="C69" s="37"/>
      <c r="D69" s="37"/>
      <c r="E69" s="38"/>
      <c r="F69" s="39"/>
      <c r="G69" s="40" t="str">
        <f aca="false">IF(OR($E69="",$C69="",$D69=""),"",$E69*$D69*IFERROR(INDEX(Listas!$C$6:$C$20,MATCH($C69,Listas!$B$6:$B$20,0)),0)-$D69*IFERROR(INDEX(Listas!$D$6:$D$20,MATCH($C69,Listas!$B$6:$B$20,0)),0))</f>
        <v/>
      </c>
      <c r="H69" s="41" t="str">
        <f aca="false">IF(OR($F69="",$C69="",$D69=""),"",ABS($F69)*$D69*IFERROR(INDEX(Listas!$C$6:$C$20,MATCH($C69,Listas!$B$6:$B$20,0)),0))</f>
        <v/>
      </c>
      <c r="I69" s="42" t="str">
        <f aca="false">IF(OR($E69="",$F69="",$F69=0),"",$E69/ABS($F69))</f>
        <v/>
      </c>
      <c r="J69" s="43" t="str">
        <f aca="false">IF($B69="","",INDEX(Listas!$G$6:$G$12,WEEKDAY($B69,1)))</f>
        <v/>
      </c>
      <c r="K69" s="43" t="str">
        <f aca="false">IFERROR(IF($L69="","",TEXT(IF($L69&lt;1,HOUR($L69),INT($L69)),"00")&amp;":00"),"")</f>
        <v/>
      </c>
      <c r="L69" s="44"/>
      <c r="M69" s="45"/>
      <c r="N69" s="46"/>
      <c r="O69" s="45"/>
      <c r="P69" s="2"/>
      <c r="Q69" s="2"/>
      <c r="R69" s="2"/>
      <c r="S69" s="2"/>
      <c r="T69" s="2"/>
      <c r="U69" s="47" t="str">
        <f aca="false">IF($G69="","",IF($G69&lt;0,IF(N($U68)=0,1,$U68+1),0))</f>
        <v/>
      </c>
      <c r="V69" s="47" t="str">
        <f aca="false">IF($G69="","",IF($V68="",'Empieza aquí'!$D$8,$V68)+$G69)</f>
        <v/>
      </c>
      <c r="W69" s="47" t="str">
        <f aca="false">IF($V69="","",MAX(IF($W68="",'Empieza aquí'!$D$8,$W68),$V69))</f>
        <v/>
      </c>
      <c r="X69" s="47" t="str">
        <f aca="false">IF($V69="","",$V69-$W69)</f>
        <v/>
      </c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customFormat="false" ht="15" hidden="false" customHeight="true" outlineLevel="0" collapsed="false">
      <c r="A70" s="2"/>
      <c r="B70" s="36"/>
      <c r="C70" s="37"/>
      <c r="D70" s="37"/>
      <c r="E70" s="38"/>
      <c r="F70" s="39"/>
      <c r="G70" s="40" t="str">
        <f aca="false">IF(OR($E70="",$C70="",$D70=""),"",$E70*$D70*IFERROR(INDEX(Listas!$C$6:$C$20,MATCH($C70,Listas!$B$6:$B$20,0)),0)-$D70*IFERROR(INDEX(Listas!$D$6:$D$20,MATCH($C70,Listas!$B$6:$B$20,0)),0))</f>
        <v/>
      </c>
      <c r="H70" s="41" t="str">
        <f aca="false">IF(OR($F70="",$C70="",$D70=""),"",ABS($F70)*$D70*IFERROR(INDEX(Listas!$C$6:$C$20,MATCH($C70,Listas!$B$6:$B$20,0)),0))</f>
        <v/>
      </c>
      <c r="I70" s="42" t="str">
        <f aca="false">IF(OR($E70="",$F70="",$F70=0),"",$E70/ABS($F70))</f>
        <v/>
      </c>
      <c r="J70" s="43" t="str">
        <f aca="false">IF($B70="","",INDEX(Listas!$G$6:$G$12,WEEKDAY($B70,1)))</f>
        <v/>
      </c>
      <c r="K70" s="43" t="str">
        <f aca="false">IFERROR(IF($L70="","",TEXT(IF($L70&lt;1,HOUR($L70),INT($L70)),"00")&amp;":00"),"")</f>
        <v/>
      </c>
      <c r="L70" s="44"/>
      <c r="M70" s="45"/>
      <c r="N70" s="46"/>
      <c r="O70" s="45"/>
      <c r="P70" s="2"/>
      <c r="Q70" s="2"/>
      <c r="R70" s="2"/>
      <c r="S70" s="2"/>
      <c r="T70" s="2"/>
      <c r="U70" s="47" t="str">
        <f aca="false">IF($G70="","",IF($G70&lt;0,IF(N($U69)=0,1,$U69+1),0))</f>
        <v/>
      </c>
      <c r="V70" s="47" t="str">
        <f aca="false">IF($G70="","",IF($V69="",'Empieza aquí'!$D$8,$V69)+$G70)</f>
        <v/>
      </c>
      <c r="W70" s="47" t="str">
        <f aca="false">IF($V70="","",MAX(IF($W69="",'Empieza aquí'!$D$8,$W69),$V70))</f>
        <v/>
      </c>
      <c r="X70" s="47" t="str">
        <f aca="false">IF($V70="","",$V70-$W70)</f>
        <v/>
      </c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customFormat="false" ht="15" hidden="false" customHeight="true" outlineLevel="0" collapsed="false">
      <c r="A71" s="2"/>
      <c r="B71" s="36"/>
      <c r="C71" s="37"/>
      <c r="D71" s="37"/>
      <c r="E71" s="38"/>
      <c r="F71" s="39"/>
      <c r="G71" s="40" t="str">
        <f aca="false">IF(OR($E71="",$C71="",$D71=""),"",$E71*$D71*IFERROR(INDEX(Listas!$C$6:$C$20,MATCH($C71,Listas!$B$6:$B$20,0)),0)-$D71*IFERROR(INDEX(Listas!$D$6:$D$20,MATCH($C71,Listas!$B$6:$B$20,0)),0))</f>
        <v/>
      </c>
      <c r="H71" s="41" t="str">
        <f aca="false">IF(OR($F71="",$C71="",$D71=""),"",ABS($F71)*$D71*IFERROR(INDEX(Listas!$C$6:$C$20,MATCH($C71,Listas!$B$6:$B$20,0)),0))</f>
        <v/>
      </c>
      <c r="I71" s="42" t="str">
        <f aca="false">IF(OR($E71="",$F71="",$F71=0),"",$E71/ABS($F71))</f>
        <v/>
      </c>
      <c r="J71" s="43" t="str">
        <f aca="false">IF($B71="","",INDEX(Listas!$G$6:$G$12,WEEKDAY($B71,1)))</f>
        <v/>
      </c>
      <c r="K71" s="43" t="str">
        <f aca="false">IFERROR(IF($L71="","",TEXT(IF($L71&lt;1,HOUR($L71),INT($L71)),"00")&amp;":00"),"")</f>
        <v/>
      </c>
      <c r="L71" s="44"/>
      <c r="M71" s="45"/>
      <c r="N71" s="46"/>
      <c r="O71" s="45"/>
      <c r="P71" s="2"/>
      <c r="Q71" s="2"/>
      <c r="R71" s="2"/>
      <c r="S71" s="2"/>
      <c r="T71" s="2"/>
      <c r="U71" s="47" t="str">
        <f aca="false">IF($G71="","",IF($G71&lt;0,IF(N($U70)=0,1,$U70+1),0))</f>
        <v/>
      </c>
      <c r="V71" s="47" t="str">
        <f aca="false">IF($G71="","",IF($V70="",'Empieza aquí'!$D$8,$V70)+$G71)</f>
        <v/>
      </c>
      <c r="W71" s="47" t="str">
        <f aca="false">IF($V71="","",MAX(IF($W70="",'Empieza aquí'!$D$8,$W70),$V71))</f>
        <v/>
      </c>
      <c r="X71" s="47" t="str">
        <f aca="false">IF($V71="","",$V71-$W71)</f>
        <v/>
      </c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customFormat="false" ht="15" hidden="false" customHeight="true" outlineLevel="0" collapsed="false">
      <c r="A72" s="2"/>
      <c r="B72" s="36"/>
      <c r="C72" s="37"/>
      <c r="D72" s="37"/>
      <c r="E72" s="38"/>
      <c r="F72" s="39"/>
      <c r="G72" s="40" t="str">
        <f aca="false">IF(OR($E72="",$C72="",$D72=""),"",$E72*$D72*IFERROR(INDEX(Listas!$C$6:$C$20,MATCH($C72,Listas!$B$6:$B$20,0)),0)-$D72*IFERROR(INDEX(Listas!$D$6:$D$20,MATCH($C72,Listas!$B$6:$B$20,0)),0))</f>
        <v/>
      </c>
      <c r="H72" s="41" t="str">
        <f aca="false">IF(OR($F72="",$C72="",$D72=""),"",ABS($F72)*$D72*IFERROR(INDEX(Listas!$C$6:$C$20,MATCH($C72,Listas!$B$6:$B$20,0)),0))</f>
        <v/>
      </c>
      <c r="I72" s="42" t="str">
        <f aca="false">IF(OR($E72="",$F72="",$F72=0),"",$E72/ABS($F72))</f>
        <v/>
      </c>
      <c r="J72" s="43" t="str">
        <f aca="false">IF($B72="","",INDEX(Listas!$G$6:$G$12,WEEKDAY($B72,1)))</f>
        <v/>
      </c>
      <c r="K72" s="43" t="str">
        <f aca="false">IFERROR(IF($L72="","",TEXT(IF($L72&lt;1,HOUR($L72),INT($L72)),"00")&amp;":00"),"")</f>
        <v/>
      </c>
      <c r="L72" s="44"/>
      <c r="M72" s="45"/>
      <c r="N72" s="46"/>
      <c r="O72" s="45"/>
      <c r="P72" s="2"/>
      <c r="Q72" s="2"/>
      <c r="R72" s="2"/>
      <c r="S72" s="2"/>
      <c r="T72" s="2"/>
      <c r="U72" s="47" t="str">
        <f aca="false">IF($G72="","",IF($G72&lt;0,IF(N($U71)=0,1,$U71+1),0))</f>
        <v/>
      </c>
      <c r="V72" s="47" t="str">
        <f aca="false">IF($G72="","",IF($V71="",'Empieza aquí'!$D$8,$V71)+$G72)</f>
        <v/>
      </c>
      <c r="W72" s="47" t="str">
        <f aca="false">IF($V72="","",MAX(IF($W71="",'Empieza aquí'!$D$8,$W71),$V72))</f>
        <v/>
      </c>
      <c r="X72" s="47" t="str">
        <f aca="false">IF($V72="","",$V72-$W72)</f>
        <v/>
      </c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customFormat="false" ht="15" hidden="false" customHeight="true" outlineLevel="0" collapsed="false">
      <c r="A73" s="2"/>
      <c r="B73" s="36"/>
      <c r="C73" s="37"/>
      <c r="D73" s="37"/>
      <c r="E73" s="38"/>
      <c r="F73" s="39"/>
      <c r="G73" s="40" t="str">
        <f aca="false">IF(OR($E73="",$C73="",$D73=""),"",$E73*$D73*IFERROR(INDEX(Listas!$C$6:$C$20,MATCH($C73,Listas!$B$6:$B$20,0)),0)-$D73*IFERROR(INDEX(Listas!$D$6:$D$20,MATCH($C73,Listas!$B$6:$B$20,0)),0))</f>
        <v/>
      </c>
      <c r="H73" s="41" t="str">
        <f aca="false">IF(OR($F73="",$C73="",$D73=""),"",ABS($F73)*$D73*IFERROR(INDEX(Listas!$C$6:$C$20,MATCH($C73,Listas!$B$6:$B$20,0)),0))</f>
        <v/>
      </c>
      <c r="I73" s="42" t="str">
        <f aca="false">IF(OR($E73="",$F73="",$F73=0),"",$E73/ABS($F73))</f>
        <v/>
      </c>
      <c r="J73" s="43" t="str">
        <f aca="false">IF($B73="","",INDEX(Listas!$G$6:$G$12,WEEKDAY($B73,1)))</f>
        <v/>
      </c>
      <c r="K73" s="43" t="str">
        <f aca="false">IFERROR(IF($L73="","",TEXT(IF($L73&lt;1,HOUR($L73),INT($L73)),"00")&amp;":00"),"")</f>
        <v/>
      </c>
      <c r="L73" s="44"/>
      <c r="M73" s="45"/>
      <c r="N73" s="46"/>
      <c r="O73" s="45"/>
      <c r="P73" s="2"/>
      <c r="Q73" s="2"/>
      <c r="R73" s="2"/>
      <c r="S73" s="2"/>
      <c r="T73" s="2"/>
      <c r="U73" s="47" t="str">
        <f aca="false">IF($G73="","",IF($G73&lt;0,IF(N($U72)=0,1,$U72+1),0))</f>
        <v/>
      </c>
      <c r="V73" s="47" t="str">
        <f aca="false">IF($G73="","",IF($V72="",'Empieza aquí'!$D$8,$V72)+$G73)</f>
        <v/>
      </c>
      <c r="W73" s="47" t="str">
        <f aca="false">IF($V73="","",MAX(IF($W72="",'Empieza aquí'!$D$8,$W72),$V73))</f>
        <v/>
      </c>
      <c r="X73" s="47" t="str">
        <f aca="false">IF($V73="","",$V73-$W73)</f>
        <v/>
      </c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customFormat="false" ht="15" hidden="false" customHeight="true" outlineLevel="0" collapsed="false">
      <c r="A74" s="2"/>
      <c r="B74" s="36"/>
      <c r="C74" s="37"/>
      <c r="D74" s="37"/>
      <c r="E74" s="38"/>
      <c r="F74" s="39"/>
      <c r="G74" s="40" t="str">
        <f aca="false">IF(OR($E74="",$C74="",$D74=""),"",$E74*$D74*IFERROR(INDEX(Listas!$C$6:$C$20,MATCH($C74,Listas!$B$6:$B$20,0)),0)-$D74*IFERROR(INDEX(Listas!$D$6:$D$20,MATCH($C74,Listas!$B$6:$B$20,0)),0))</f>
        <v/>
      </c>
      <c r="H74" s="41" t="str">
        <f aca="false">IF(OR($F74="",$C74="",$D74=""),"",ABS($F74)*$D74*IFERROR(INDEX(Listas!$C$6:$C$20,MATCH($C74,Listas!$B$6:$B$20,0)),0))</f>
        <v/>
      </c>
      <c r="I74" s="42" t="str">
        <f aca="false">IF(OR($E74="",$F74="",$F74=0),"",$E74/ABS($F74))</f>
        <v/>
      </c>
      <c r="J74" s="43" t="str">
        <f aca="false">IF($B74="","",INDEX(Listas!$G$6:$G$12,WEEKDAY($B74,1)))</f>
        <v/>
      </c>
      <c r="K74" s="43" t="str">
        <f aca="false">IFERROR(IF($L74="","",TEXT(IF($L74&lt;1,HOUR($L74),INT($L74)),"00")&amp;":00"),"")</f>
        <v/>
      </c>
      <c r="L74" s="44"/>
      <c r="M74" s="45"/>
      <c r="N74" s="46"/>
      <c r="O74" s="45"/>
      <c r="P74" s="2"/>
      <c r="Q74" s="2"/>
      <c r="R74" s="2"/>
      <c r="S74" s="2"/>
      <c r="T74" s="2"/>
      <c r="U74" s="47" t="str">
        <f aca="false">IF($G74="","",IF($G74&lt;0,IF(N($U73)=0,1,$U73+1),0))</f>
        <v/>
      </c>
      <c r="V74" s="47" t="str">
        <f aca="false">IF($G74="","",IF($V73="",'Empieza aquí'!$D$8,$V73)+$G74)</f>
        <v/>
      </c>
      <c r="W74" s="47" t="str">
        <f aca="false">IF($V74="","",MAX(IF($W73="",'Empieza aquí'!$D$8,$W73),$V74))</f>
        <v/>
      </c>
      <c r="X74" s="47" t="str">
        <f aca="false">IF($V74="","",$V74-$W74)</f>
        <v/>
      </c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customFormat="false" ht="15" hidden="false" customHeight="true" outlineLevel="0" collapsed="false">
      <c r="A75" s="2"/>
      <c r="B75" s="36"/>
      <c r="C75" s="37"/>
      <c r="D75" s="37"/>
      <c r="E75" s="38"/>
      <c r="F75" s="39"/>
      <c r="G75" s="40" t="str">
        <f aca="false">IF(OR($E75="",$C75="",$D75=""),"",$E75*$D75*IFERROR(INDEX(Listas!$C$6:$C$20,MATCH($C75,Listas!$B$6:$B$20,0)),0)-$D75*IFERROR(INDEX(Listas!$D$6:$D$20,MATCH($C75,Listas!$B$6:$B$20,0)),0))</f>
        <v/>
      </c>
      <c r="H75" s="41" t="str">
        <f aca="false">IF(OR($F75="",$C75="",$D75=""),"",ABS($F75)*$D75*IFERROR(INDEX(Listas!$C$6:$C$20,MATCH($C75,Listas!$B$6:$B$20,0)),0))</f>
        <v/>
      </c>
      <c r="I75" s="42" t="str">
        <f aca="false">IF(OR($E75="",$F75="",$F75=0),"",$E75/ABS($F75))</f>
        <v/>
      </c>
      <c r="J75" s="43" t="str">
        <f aca="false">IF($B75="","",INDEX(Listas!$G$6:$G$12,WEEKDAY($B75,1)))</f>
        <v/>
      </c>
      <c r="K75" s="43" t="str">
        <f aca="false">IFERROR(IF($L75="","",TEXT(IF($L75&lt;1,HOUR($L75),INT($L75)),"00")&amp;":00"),"")</f>
        <v/>
      </c>
      <c r="L75" s="44"/>
      <c r="M75" s="45"/>
      <c r="N75" s="46"/>
      <c r="O75" s="45"/>
      <c r="P75" s="2"/>
      <c r="Q75" s="2"/>
      <c r="R75" s="2"/>
      <c r="S75" s="2"/>
      <c r="T75" s="2"/>
      <c r="U75" s="47" t="str">
        <f aca="false">IF($G75="","",IF($G75&lt;0,IF(N($U74)=0,1,$U74+1),0))</f>
        <v/>
      </c>
      <c r="V75" s="47" t="str">
        <f aca="false">IF($G75="","",IF($V74="",'Empieza aquí'!$D$8,$V74)+$G75)</f>
        <v/>
      </c>
      <c r="W75" s="47" t="str">
        <f aca="false">IF($V75="","",MAX(IF($W74="",'Empieza aquí'!$D$8,$W74),$V75))</f>
        <v/>
      </c>
      <c r="X75" s="47" t="str">
        <f aca="false">IF($V75="","",$V75-$W75)</f>
        <v/>
      </c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customFormat="false" ht="15" hidden="false" customHeight="true" outlineLevel="0" collapsed="false">
      <c r="A76" s="2"/>
      <c r="B76" s="36"/>
      <c r="C76" s="37"/>
      <c r="D76" s="37"/>
      <c r="E76" s="38"/>
      <c r="F76" s="39"/>
      <c r="G76" s="40" t="str">
        <f aca="false">IF(OR($E76="",$C76="",$D76=""),"",$E76*$D76*IFERROR(INDEX(Listas!$C$6:$C$20,MATCH($C76,Listas!$B$6:$B$20,0)),0)-$D76*IFERROR(INDEX(Listas!$D$6:$D$20,MATCH($C76,Listas!$B$6:$B$20,0)),0))</f>
        <v/>
      </c>
      <c r="H76" s="41" t="str">
        <f aca="false">IF(OR($F76="",$C76="",$D76=""),"",ABS($F76)*$D76*IFERROR(INDEX(Listas!$C$6:$C$20,MATCH($C76,Listas!$B$6:$B$20,0)),0))</f>
        <v/>
      </c>
      <c r="I76" s="42" t="str">
        <f aca="false">IF(OR($E76="",$F76="",$F76=0),"",$E76/ABS($F76))</f>
        <v/>
      </c>
      <c r="J76" s="43" t="str">
        <f aca="false">IF($B76="","",INDEX(Listas!$G$6:$G$12,WEEKDAY($B76,1)))</f>
        <v/>
      </c>
      <c r="K76" s="43" t="str">
        <f aca="false">IFERROR(IF($L76="","",TEXT(IF($L76&lt;1,HOUR($L76),INT($L76)),"00")&amp;":00"),"")</f>
        <v/>
      </c>
      <c r="L76" s="44"/>
      <c r="M76" s="45"/>
      <c r="N76" s="46"/>
      <c r="O76" s="45"/>
      <c r="P76" s="2"/>
      <c r="Q76" s="2"/>
      <c r="R76" s="2"/>
      <c r="S76" s="2"/>
      <c r="T76" s="2"/>
      <c r="U76" s="47" t="str">
        <f aca="false">IF($G76="","",IF($G76&lt;0,IF(N($U75)=0,1,$U75+1),0))</f>
        <v/>
      </c>
      <c r="V76" s="47" t="str">
        <f aca="false">IF($G76="","",IF($V75="",'Empieza aquí'!$D$8,$V75)+$G76)</f>
        <v/>
      </c>
      <c r="W76" s="47" t="str">
        <f aca="false">IF($V76="","",MAX(IF($W75="",'Empieza aquí'!$D$8,$W75),$V76))</f>
        <v/>
      </c>
      <c r="X76" s="47" t="str">
        <f aca="false">IF($V76="","",$V76-$W76)</f>
        <v/>
      </c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customFormat="false" ht="15" hidden="false" customHeight="true" outlineLevel="0" collapsed="false">
      <c r="A77" s="2"/>
      <c r="B77" s="36"/>
      <c r="C77" s="37"/>
      <c r="D77" s="37"/>
      <c r="E77" s="38"/>
      <c r="F77" s="39"/>
      <c r="G77" s="40" t="str">
        <f aca="false">IF(OR($E77="",$C77="",$D77=""),"",$E77*$D77*IFERROR(INDEX(Listas!$C$6:$C$20,MATCH($C77,Listas!$B$6:$B$20,0)),0)-$D77*IFERROR(INDEX(Listas!$D$6:$D$20,MATCH($C77,Listas!$B$6:$B$20,0)),0))</f>
        <v/>
      </c>
      <c r="H77" s="41" t="str">
        <f aca="false">IF(OR($F77="",$C77="",$D77=""),"",ABS($F77)*$D77*IFERROR(INDEX(Listas!$C$6:$C$20,MATCH($C77,Listas!$B$6:$B$20,0)),0))</f>
        <v/>
      </c>
      <c r="I77" s="42" t="str">
        <f aca="false">IF(OR($E77="",$F77="",$F77=0),"",$E77/ABS($F77))</f>
        <v/>
      </c>
      <c r="J77" s="43" t="str">
        <f aca="false">IF($B77="","",INDEX(Listas!$G$6:$G$12,WEEKDAY($B77,1)))</f>
        <v/>
      </c>
      <c r="K77" s="43" t="str">
        <f aca="false">IFERROR(IF($L77="","",TEXT(IF($L77&lt;1,HOUR($L77),INT($L77)),"00")&amp;":00"),"")</f>
        <v/>
      </c>
      <c r="L77" s="44"/>
      <c r="M77" s="45"/>
      <c r="N77" s="46"/>
      <c r="O77" s="45"/>
      <c r="P77" s="2"/>
      <c r="Q77" s="2"/>
      <c r="R77" s="2"/>
      <c r="S77" s="2"/>
      <c r="T77" s="2"/>
      <c r="U77" s="47" t="str">
        <f aca="false">IF($G77="","",IF($G77&lt;0,IF(N($U76)=0,1,$U76+1),0))</f>
        <v/>
      </c>
      <c r="V77" s="47" t="str">
        <f aca="false">IF($G77="","",IF($V76="",'Empieza aquí'!$D$8,$V76)+$G77)</f>
        <v/>
      </c>
      <c r="W77" s="47" t="str">
        <f aca="false">IF($V77="","",MAX(IF($W76="",'Empieza aquí'!$D$8,$W76),$V77))</f>
        <v/>
      </c>
      <c r="X77" s="47" t="str">
        <f aca="false">IF($V77="","",$V77-$W77)</f>
        <v/>
      </c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customFormat="false" ht="15" hidden="false" customHeight="true" outlineLevel="0" collapsed="false">
      <c r="A78" s="2"/>
      <c r="B78" s="36"/>
      <c r="C78" s="37"/>
      <c r="D78" s="37"/>
      <c r="E78" s="38"/>
      <c r="F78" s="39"/>
      <c r="G78" s="40" t="str">
        <f aca="false">IF(OR($E78="",$C78="",$D78=""),"",$E78*$D78*IFERROR(INDEX(Listas!$C$6:$C$20,MATCH($C78,Listas!$B$6:$B$20,0)),0)-$D78*IFERROR(INDEX(Listas!$D$6:$D$20,MATCH($C78,Listas!$B$6:$B$20,0)),0))</f>
        <v/>
      </c>
      <c r="H78" s="41" t="str">
        <f aca="false">IF(OR($F78="",$C78="",$D78=""),"",ABS($F78)*$D78*IFERROR(INDEX(Listas!$C$6:$C$20,MATCH($C78,Listas!$B$6:$B$20,0)),0))</f>
        <v/>
      </c>
      <c r="I78" s="42" t="str">
        <f aca="false">IF(OR($E78="",$F78="",$F78=0),"",$E78/ABS($F78))</f>
        <v/>
      </c>
      <c r="J78" s="43" t="str">
        <f aca="false">IF($B78="","",INDEX(Listas!$G$6:$G$12,WEEKDAY($B78,1)))</f>
        <v/>
      </c>
      <c r="K78" s="43" t="str">
        <f aca="false">IFERROR(IF($L78="","",TEXT(IF($L78&lt;1,HOUR($L78),INT($L78)),"00")&amp;":00"),"")</f>
        <v/>
      </c>
      <c r="L78" s="44"/>
      <c r="M78" s="45"/>
      <c r="N78" s="46"/>
      <c r="O78" s="45"/>
      <c r="P78" s="2"/>
      <c r="Q78" s="2"/>
      <c r="R78" s="2"/>
      <c r="S78" s="2"/>
      <c r="T78" s="2"/>
      <c r="U78" s="47" t="str">
        <f aca="false">IF($G78="","",IF($G78&lt;0,IF(N($U77)=0,1,$U77+1),0))</f>
        <v/>
      </c>
      <c r="V78" s="47" t="str">
        <f aca="false">IF($G78="","",IF($V77="",'Empieza aquí'!$D$8,$V77)+$G78)</f>
        <v/>
      </c>
      <c r="W78" s="47" t="str">
        <f aca="false">IF($V78="","",MAX(IF($W77="",'Empieza aquí'!$D$8,$W77),$V78))</f>
        <v/>
      </c>
      <c r="X78" s="47" t="str">
        <f aca="false">IF($V78="","",$V78-$W78)</f>
        <v/>
      </c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customFormat="false" ht="15" hidden="false" customHeight="true" outlineLevel="0" collapsed="false">
      <c r="A79" s="2"/>
      <c r="B79" s="36"/>
      <c r="C79" s="37"/>
      <c r="D79" s="37"/>
      <c r="E79" s="38"/>
      <c r="F79" s="39"/>
      <c r="G79" s="40" t="str">
        <f aca="false">IF(OR($E79="",$C79="",$D79=""),"",$E79*$D79*IFERROR(INDEX(Listas!$C$6:$C$20,MATCH($C79,Listas!$B$6:$B$20,0)),0)-$D79*IFERROR(INDEX(Listas!$D$6:$D$20,MATCH($C79,Listas!$B$6:$B$20,0)),0))</f>
        <v/>
      </c>
      <c r="H79" s="41" t="str">
        <f aca="false">IF(OR($F79="",$C79="",$D79=""),"",ABS($F79)*$D79*IFERROR(INDEX(Listas!$C$6:$C$20,MATCH($C79,Listas!$B$6:$B$20,0)),0))</f>
        <v/>
      </c>
      <c r="I79" s="42" t="str">
        <f aca="false">IF(OR($E79="",$F79="",$F79=0),"",$E79/ABS($F79))</f>
        <v/>
      </c>
      <c r="J79" s="43" t="str">
        <f aca="false">IF($B79="","",INDEX(Listas!$G$6:$G$12,WEEKDAY($B79,1)))</f>
        <v/>
      </c>
      <c r="K79" s="43" t="str">
        <f aca="false">IFERROR(IF($L79="","",TEXT(IF($L79&lt;1,HOUR($L79),INT($L79)),"00")&amp;":00"),"")</f>
        <v/>
      </c>
      <c r="L79" s="44"/>
      <c r="M79" s="45"/>
      <c r="N79" s="46"/>
      <c r="O79" s="45"/>
      <c r="P79" s="2"/>
      <c r="Q79" s="2"/>
      <c r="R79" s="2"/>
      <c r="S79" s="2"/>
      <c r="T79" s="2"/>
      <c r="U79" s="47" t="str">
        <f aca="false">IF($G79="","",IF($G79&lt;0,IF(N($U78)=0,1,$U78+1),0))</f>
        <v/>
      </c>
      <c r="V79" s="47" t="str">
        <f aca="false">IF($G79="","",IF($V78="",'Empieza aquí'!$D$8,$V78)+$G79)</f>
        <v/>
      </c>
      <c r="W79" s="47" t="str">
        <f aca="false">IF($V79="","",MAX(IF($W78="",'Empieza aquí'!$D$8,$W78),$V79))</f>
        <v/>
      </c>
      <c r="X79" s="47" t="str">
        <f aca="false">IF($V79="","",$V79-$W79)</f>
        <v/>
      </c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customFormat="false" ht="15" hidden="false" customHeight="true" outlineLevel="0" collapsed="false">
      <c r="A80" s="2"/>
      <c r="B80" s="36"/>
      <c r="C80" s="37"/>
      <c r="D80" s="37"/>
      <c r="E80" s="38"/>
      <c r="F80" s="39"/>
      <c r="G80" s="40" t="str">
        <f aca="false">IF(OR($E80="",$C80="",$D80=""),"",$E80*$D80*IFERROR(INDEX(Listas!$C$6:$C$20,MATCH($C80,Listas!$B$6:$B$20,0)),0)-$D80*IFERROR(INDEX(Listas!$D$6:$D$20,MATCH($C80,Listas!$B$6:$B$20,0)),0))</f>
        <v/>
      </c>
      <c r="H80" s="41" t="str">
        <f aca="false">IF(OR($F80="",$C80="",$D80=""),"",ABS($F80)*$D80*IFERROR(INDEX(Listas!$C$6:$C$20,MATCH($C80,Listas!$B$6:$B$20,0)),0))</f>
        <v/>
      </c>
      <c r="I80" s="42" t="str">
        <f aca="false">IF(OR($E80="",$F80="",$F80=0),"",$E80/ABS($F80))</f>
        <v/>
      </c>
      <c r="J80" s="43" t="str">
        <f aca="false">IF($B80="","",INDEX(Listas!$G$6:$G$12,WEEKDAY($B80,1)))</f>
        <v/>
      </c>
      <c r="K80" s="43" t="str">
        <f aca="false">IFERROR(IF($L80="","",TEXT(IF($L80&lt;1,HOUR($L80),INT($L80)),"00")&amp;":00"),"")</f>
        <v/>
      </c>
      <c r="L80" s="44"/>
      <c r="M80" s="45"/>
      <c r="N80" s="46"/>
      <c r="O80" s="45"/>
      <c r="P80" s="2"/>
      <c r="Q80" s="2"/>
      <c r="R80" s="2"/>
      <c r="S80" s="2"/>
      <c r="T80" s="2"/>
      <c r="U80" s="47" t="str">
        <f aca="false">IF($G80="","",IF($G80&lt;0,IF(N($U79)=0,1,$U79+1),0))</f>
        <v/>
      </c>
      <c r="V80" s="47" t="str">
        <f aca="false">IF($G80="","",IF($V79="",'Empieza aquí'!$D$8,$V79)+$G80)</f>
        <v/>
      </c>
      <c r="W80" s="47" t="str">
        <f aca="false">IF($V80="","",MAX(IF($W79="",'Empieza aquí'!$D$8,$W79),$V80))</f>
        <v/>
      </c>
      <c r="X80" s="47" t="str">
        <f aca="false">IF($V80="","",$V80-$W80)</f>
        <v/>
      </c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customFormat="false" ht="15" hidden="false" customHeight="true" outlineLevel="0" collapsed="false">
      <c r="A81" s="2"/>
      <c r="B81" s="36"/>
      <c r="C81" s="37"/>
      <c r="D81" s="37"/>
      <c r="E81" s="38"/>
      <c r="F81" s="39"/>
      <c r="G81" s="40" t="str">
        <f aca="false">IF(OR($E81="",$C81="",$D81=""),"",$E81*$D81*IFERROR(INDEX(Listas!$C$6:$C$20,MATCH($C81,Listas!$B$6:$B$20,0)),0)-$D81*IFERROR(INDEX(Listas!$D$6:$D$20,MATCH($C81,Listas!$B$6:$B$20,0)),0))</f>
        <v/>
      </c>
      <c r="H81" s="41" t="str">
        <f aca="false">IF(OR($F81="",$C81="",$D81=""),"",ABS($F81)*$D81*IFERROR(INDEX(Listas!$C$6:$C$20,MATCH($C81,Listas!$B$6:$B$20,0)),0))</f>
        <v/>
      </c>
      <c r="I81" s="42" t="str">
        <f aca="false">IF(OR($E81="",$F81="",$F81=0),"",$E81/ABS($F81))</f>
        <v/>
      </c>
      <c r="J81" s="43" t="str">
        <f aca="false">IF($B81="","",INDEX(Listas!$G$6:$G$12,WEEKDAY($B81,1)))</f>
        <v/>
      </c>
      <c r="K81" s="43" t="str">
        <f aca="false">IFERROR(IF($L81="","",TEXT(IF($L81&lt;1,HOUR($L81),INT($L81)),"00")&amp;":00"),"")</f>
        <v/>
      </c>
      <c r="L81" s="44"/>
      <c r="M81" s="45"/>
      <c r="N81" s="46"/>
      <c r="O81" s="45"/>
      <c r="P81" s="2"/>
      <c r="Q81" s="2"/>
      <c r="R81" s="2"/>
      <c r="S81" s="2"/>
      <c r="T81" s="2"/>
      <c r="U81" s="47" t="str">
        <f aca="false">IF($G81="","",IF($G81&lt;0,IF(N($U80)=0,1,$U80+1),0))</f>
        <v/>
      </c>
      <c r="V81" s="47" t="str">
        <f aca="false">IF($G81="","",IF($V80="",'Empieza aquí'!$D$8,$V80)+$G81)</f>
        <v/>
      </c>
      <c r="W81" s="47" t="str">
        <f aca="false">IF($V81="","",MAX(IF($W80="",'Empieza aquí'!$D$8,$W80),$V81))</f>
        <v/>
      </c>
      <c r="X81" s="47" t="str">
        <f aca="false">IF($V81="","",$V81-$W81)</f>
        <v/>
      </c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customFormat="false" ht="15" hidden="false" customHeight="true" outlineLevel="0" collapsed="false">
      <c r="A82" s="2"/>
      <c r="B82" s="36"/>
      <c r="C82" s="37"/>
      <c r="D82" s="37"/>
      <c r="E82" s="38"/>
      <c r="F82" s="39"/>
      <c r="G82" s="40" t="str">
        <f aca="false">IF(OR($E82="",$C82="",$D82=""),"",$E82*$D82*IFERROR(INDEX(Listas!$C$6:$C$20,MATCH($C82,Listas!$B$6:$B$20,0)),0)-$D82*IFERROR(INDEX(Listas!$D$6:$D$20,MATCH($C82,Listas!$B$6:$B$20,0)),0))</f>
        <v/>
      </c>
      <c r="H82" s="41" t="str">
        <f aca="false">IF(OR($F82="",$C82="",$D82=""),"",ABS($F82)*$D82*IFERROR(INDEX(Listas!$C$6:$C$20,MATCH($C82,Listas!$B$6:$B$20,0)),0))</f>
        <v/>
      </c>
      <c r="I82" s="42" t="str">
        <f aca="false">IF(OR($E82="",$F82="",$F82=0),"",$E82/ABS($F82))</f>
        <v/>
      </c>
      <c r="J82" s="43" t="str">
        <f aca="false">IF($B82="","",INDEX(Listas!$G$6:$G$12,WEEKDAY($B82,1)))</f>
        <v/>
      </c>
      <c r="K82" s="43" t="str">
        <f aca="false">IFERROR(IF($L82="","",TEXT(IF($L82&lt;1,HOUR($L82),INT($L82)),"00")&amp;":00"),"")</f>
        <v/>
      </c>
      <c r="L82" s="44"/>
      <c r="M82" s="45"/>
      <c r="N82" s="46"/>
      <c r="O82" s="45"/>
      <c r="P82" s="2"/>
      <c r="Q82" s="2"/>
      <c r="R82" s="2"/>
      <c r="S82" s="2"/>
      <c r="T82" s="2"/>
      <c r="U82" s="47" t="str">
        <f aca="false">IF($G82="","",IF($G82&lt;0,IF(N($U81)=0,1,$U81+1),0))</f>
        <v/>
      </c>
      <c r="V82" s="47" t="str">
        <f aca="false">IF($G82="","",IF($V81="",'Empieza aquí'!$D$8,$V81)+$G82)</f>
        <v/>
      </c>
      <c r="W82" s="47" t="str">
        <f aca="false">IF($V82="","",MAX(IF($W81="",'Empieza aquí'!$D$8,$W81),$V82))</f>
        <v/>
      </c>
      <c r="X82" s="47" t="str">
        <f aca="false">IF($V82="","",$V82-$W82)</f>
        <v/>
      </c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customFormat="false" ht="15" hidden="false" customHeight="true" outlineLevel="0" collapsed="false">
      <c r="A83" s="2"/>
      <c r="B83" s="36"/>
      <c r="C83" s="37"/>
      <c r="D83" s="37"/>
      <c r="E83" s="38"/>
      <c r="F83" s="39"/>
      <c r="G83" s="40" t="str">
        <f aca="false">IF(OR($E83="",$C83="",$D83=""),"",$E83*$D83*IFERROR(INDEX(Listas!$C$6:$C$20,MATCH($C83,Listas!$B$6:$B$20,0)),0)-$D83*IFERROR(INDEX(Listas!$D$6:$D$20,MATCH($C83,Listas!$B$6:$B$20,0)),0))</f>
        <v/>
      </c>
      <c r="H83" s="41" t="str">
        <f aca="false">IF(OR($F83="",$C83="",$D83=""),"",ABS($F83)*$D83*IFERROR(INDEX(Listas!$C$6:$C$20,MATCH($C83,Listas!$B$6:$B$20,0)),0))</f>
        <v/>
      </c>
      <c r="I83" s="42" t="str">
        <f aca="false">IF(OR($E83="",$F83="",$F83=0),"",$E83/ABS($F83))</f>
        <v/>
      </c>
      <c r="J83" s="43" t="str">
        <f aca="false">IF($B83="","",INDEX(Listas!$G$6:$G$12,WEEKDAY($B83,1)))</f>
        <v/>
      </c>
      <c r="K83" s="43" t="str">
        <f aca="false">IFERROR(IF($L83="","",TEXT(IF($L83&lt;1,HOUR($L83),INT($L83)),"00")&amp;":00"),"")</f>
        <v/>
      </c>
      <c r="L83" s="44"/>
      <c r="M83" s="45"/>
      <c r="N83" s="46"/>
      <c r="O83" s="45"/>
      <c r="P83" s="2"/>
      <c r="Q83" s="2"/>
      <c r="R83" s="2"/>
      <c r="S83" s="2"/>
      <c r="T83" s="2"/>
      <c r="U83" s="47" t="str">
        <f aca="false">IF($G83="","",IF($G83&lt;0,IF(N($U82)=0,1,$U82+1),0))</f>
        <v/>
      </c>
      <c r="V83" s="47" t="str">
        <f aca="false">IF($G83="","",IF($V82="",'Empieza aquí'!$D$8,$V82)+$G83)</f>
        <v/>
      </c>
      <c r="W83" s="47" t="str">
        <f aca="false">IF($V83="","",MAX(IF($W82="",'Empieza aquí'!$D$8,$W82),$V83))</f>
        <v/>
      </c>
      <c r="X83" s="47" t="str">
        <f aca="false">IF($V83="","",$V83-$W83)</f>
        <v/>
      </c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customFormat="false" ht="15" hidden="false" customHeight="true" outlineLevel="0" collapsed="false">
      <c r="A84" s="2"/>
      <c r="B84" s="36"/>
      <c r="C84" s="37"/>
      <c r="D84" s="37"/>
      <c r="E84" s="38"/>
      <c r="F84" s="39"/>
      <c r="G84" s="40" t="str">
        <f aca="false">IF(OR($E84="",$C84="",$D84=""),"",$E84*$D84*IFERROR(INDEX(Listas!$C$6:$C$20,MATCH($C84,Listas!$B$6:$B$20,0)),0)-$D84*IFERROR(INDEX(Listas!$D$6:$D$20,MATCH($C84,Listas!$B$6:$B$20,0)),0))</f>
        <v/>
      </c>
      <c r="H84" s="41" t="str">
        <f aca="false">IF(OR($F84="",$C84="",$D84=""),"",ABS($F84)*$D84*IFERROR(INDEX(Listas!$C$6:$C$20,MATCH($C84,Listas!$B$6:$B$20,0)),0))</f>
        <v/>
      </c>
      <c r="I84" s="42" t="str">
        <f aca="false">IF(OR($E84="",$F84="",$F84=0),"",$E84/ABS($F84))</f>
        <v/>
      </c>
      <c r="J84" s="43" t="str">
        <f aca="false">IF($B84="","",INDEX(Listas!$G$6:$G$12,WEEKDAY($B84,1)))</f>
        <v/>
      </c>
      <c r="K84" s="43" t="str">
        <f aca="false">IFERROR(IF($L84="","",TEXT(IF($L84&lt;1,HOUR($L84),INT($L84)),"00")&amp;":00"),"")</f>
        <v/>
      </c>
      <c r="L84" s="44"/>
      <c r="M84" s="45"/>
      <c r="N84" s="46"/>
      <c r="O84" s="45"/>
      <c r="P84" s="2"/>
      <c r="Q84" s="2"/>
      <c r="R84" s="2"/>
      <c r="S84" s="2"/>
      <c r="T84" s="2"/>
      <c r="U84" s="47" t="str">
        <f aca="false">IF($G84="","",IF($G84&lt;0,IF(N($U83)=0,1,$U83+1),0))</f>
        <v/>
      </c>
      <c r="V84" s="47" t="str">
        <f aca="false">IF($G84="","",IF($V83="",'Empieza aquí'!$D$8,$V83)+$G84)</f>
        <v/>
      </c>
      <c r="W84" s="47" t="str">
        <f aca="false">IF($V84="","",MAX(IF($W83="",'Empieza aquí'!$D$8,$W83),$V84))</f>
        <v/>
      </c>
      <c r="X84" s="47" t="str">
        <f aca="false">IF($V84="","",$V84-$W84)</f>
        <v/>
      </c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customFormat="false" ht="15" hidden="false" customHeight="true" outlineLevel="0" collapsed="false">
      <c r="A85" s="2"/>
      <c r="B85" s="36"/>
      <c r="C85" s="37"/>
      <c r="D85" s="37"/>
      <c r="E85" s="38"/>
      <c r="F85" s="39"/>
      <c r="G85" s="40" t="str">
        <f aca="false">IF(OR($E85="",$C85="",$D85=""),"",$E85*$D85*IFERROR(INDEX(Listas!$C$6:$C$20,MATCH($C85,Listas!$B$6:$B$20,0)),0)-$D85*IFERROR(INDEX(Listas!$D$6:$D$20,MATCH($C85,Listas!$B$6:$B$20,0)),0))</f>
        <v/>
      </c>
      <c r="H85" s="41" t="str">
        <f aca="false">IF(OR($F85="",$C85="",$D85=""),"",ABS($F85)*$D85*IFERROR(INDEX(Listas!$C$6:$C$20,MATCH($C85,Listas!$B$6:$B$20,0)),0))</f>
        <v/>
      </c>
      <c r="I85" s="42" t="str">
        <f aca="false">IF(OR($E85="",$F85="",$F85=0),"",$E85/ABS($F85))</f>
        <v/>
      </c>
      <c r="J85" s="43" t="str">
        <f aca="false">IF($B85="","",INDEX(Listas!$G$6:$G$12,WEEKDAY($B85,1)))</f>
        <v/>
      </c>
      <c r="K85" s="43" t="str">
        <f aca="false">IFERROR(IF($L85="","",TEXT(IF($L85&lt;1,HOUR($L85),INT($L85)),"00")&amp;":00"),"")</f>
        <v/>
      </c>
      <c r="L85" s="44"/>
      <c r="M85" s="45"/>
      <c r="N85" s="46"/>
      <c r="O85" s="45"/>
      <c r="P85" s="2"/>
      <c r="Q85" s="2"/>
      <c r="R85" s="2"/>
      <c r="S85" s="2"/>
      <c r="T85" s="2"/>
      <c r="U85" s="47" t="str">
        <f aca="false">IF($G85="","",IF($G85&lt;0,IF(N($U84)=0,1,$U84+1),0))</f>
        <v/>
      </c>
      <c r="V85" s="47" t="str">
        <f aca="false">IF($G85="","",IF($V84="",'Empieza aquí'!$D$8,$V84)+$G85)</f>
        <v/>
      </c>
      <c r="W85" s="47" t="str">
        <f aca="false">IF($V85="","",MAX(IF($W84="",'Empieza aquí'!$D$8,$W84),$V85))</f>
        <v/>
      </c>
      <c r="X85" s="47" t="str">
        <f aca="false">IF($V85="","",$V85-$W85)</f>
        <v/>
      </c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customFormat="false" ht="15" hidden="false" customHeight="true" outlineLevel="0" collapsed="false">
      <c r="A86" s="2"/>
      <c r="B86" s="36"/>
      <c r="C86" s="37"/>
      <c r="D86" s="37"/>
      <c r="E86" s="38"/>
      <c r="F86" s="39"/>
      <c r="G86" s="40" t="str">
        <f aca="false">IF(OR($E86="",$C86="",$D86=""),"",$E86*$D86*IFERROR(INDEX(Listas!$C$6:$C$20,MATCH($C86,Listas!$B$6:$B$20,0)),0)-$D86*IFERROR(INDEX(Listas!$D$6:$D$20,MATCH($C86,Listas!$B$6:$B$20,0)),0))</f>
        <v/>
      </c>
      <c r="H86" s="41" t="str">
        <f aca="false">IF(OR($F86="",$C86="",$D86=""),"",ABS($F86)*$D86*IFERROR(INDEX(Listas!$C$6:$C$20,MATCH($C86,Listas!$B$6:$B$20,0)),0))</f>
        <v/>
      </c>
      <c r="I86" s="42" t="str">
        <f aca="false">IF(OR($E86="",$F86="",$F86=0),"",$E86/ABS($F86))</f>
        <v/>
      </c>
      <c r="J86" s="43" t="str">
        <f aca="false">IF($B86="","",INDEX(Listas!$G$6:$G$12,WEEKDAY($B86,1)))</f>
        <v/>
      </c>
      <c r="K86" s="43" t="str">
        <f aca="false">IFERROR(IF($L86="","",TEXT(IF($L86&lt;1,HOUR($L86),INT($L86)),"00")&amp;":00"),"")</f>
        <v/>
      </c>
      <c r="L86" s="44"/>
      <c r="M86" s="45"/>
      <c r="N86" s="46"/>
      <c r="O86" s="45"/>
      <c r="P86" s="2"/>
      <c r="Q86" s="2"/>
      <c r="R86" s="2"/>
      <c r="S86" s="2"/>
      <c r="T86" s="2"/>
      <c r="U86" s="47" t="str">
        <f aca="false">IF($G86="","",IF($G86&lt;0,IF(N($U85)=0,1,$U85+1),0))</f>
        <v/>
      </c>
      <c r="V86" s="47" t="str">
        <f aca="false">IF($G86="","",IF($V85="",'Empieza aquí'!$D$8,$V85)+$G86)</f>
        <v/>
      </c>
      <c r="W86" s="47" t="str">
        <f aca="false">IF($V86="","",MAX(IF($W85="",'Empieza aquí'!$D$8,$W85),$V86))</f>
        <v/>
      </c>
      <c r="X86" s="47" t="str">
        <f aca="false">IF($V86="","",$V86-$W86)</f>
        <v/>
      </c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customFormat="false" ht="15" hidden="false" customHeight="true" outlineLevel="0" collapsed="false">
      <c r="A87" s="2"/>
      <c r="B87" s="36"/>
      <c r="C87" s="37"/>
      <c r="D87" s="37"/>
      <c r="E87" s="38"/>
      <c r="F87" s="39"/>
      <c r="G87" s="40" t="str">
        <f aca="false">IF(OR($E87="",$C87="",$D87=""),"",$E87*$D87*IFERROR(INDEX(Listas!$C$6:$C$20,MATCH($C87,Listas!$B$6:$B$20,0)),0)-$D87*IFERROR(INDEX(Listas!$D$6:$D$20,MATCH($C87,Listas!$B$6:$B$20,0)),0))</f>
        <v/>
      </c>
      <c r="H87" s="41" t="str">
        <f aca="false">IF(OR($F87="",$C87="",$D87=""),"",ABS($F87)*$D87*IFERROR(INDEX(Listas!$C$6:$C$20,MATCH($C87,Listas!$B$6:$B$20,0)),0))</f>
        <v/>
      </c>
      <c r="I87" s="42" t="str">
        <f aca="false">IF(OR($E87="",$F87="",$F87=0),"",$E87/ABS($F87))</f>
        <v/>
      </c>
      <c r="J87" s="43" t="str">
        <f aca="false">IF($B87="","",INDEX(Listas!$G$6:$G$12,WEEKDAY($B87,1)))</f>
        <v/>
      </c>
      <c r="K87" s="43" t="str">
        <f aca="false">IFERROR(IF($L87="","",TEXT(IF($L87&lt;1,HOUR($L87),INT($L87)),"00")&amp;":00"),"")</f>
        <v/>
      </c>
      <c r="L87" s="44"/>
      <c r="M87" s="45"/>
      <c r="N87" s="46"/>
      <c r="O87" s="45"/>
      <c r="P87" s="2"/>
      <c r="Q87" s="2"/>
      <c r="R87" s="2"/>
      <c r="S87" s="2"/>
      <c r="T87" s="2"/>
      <c r="U87" s="47" t="str">
        <f aca="false">IF($G87="","",IF($G87&lt;0,IF(N($U86)=0,1,$U86+1),0))</f>
        <v/>
      </c>
      <c r="V87" s="47" t="str">
        <f aca="false">IF($G87="","",IF($V86="",'Empieza aquí'!$D$8,$V86)+$G87)</f>
        <v/>
      </c>
      <c r="W87" s="47" t="str">
        <f aca="false">IF($V87="","",MAX(IF($W86="",'Empieza aquí'!$D$8,$W86),$V87))</f>
        <v/>
      </c>
      <c r="X87" s="47" t="str">
        <f aca="false">IF($V87="","",$V87-$W87)</f>
        <v/>
      </c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customFormat="false" ht="15" hidden="false" customHeight="true" outlineLevel="0" collapsed="false">
      <c r="A88" s="2"/>
      <c r="B88" s="36"/>
      <c r="C88" s="37"/>
      <c r="D88" s="37"/>
      <c r="E88" s="38"/>
      <c r="F88" s="39"/>
      <c r="G88" s="40" t="str">
        <f aca="false">IF(OR($E88="",$C88="",$D88=""),"",$E88*$D88*IFERROR(INDEX(Listas!$C$6:$C$20,MATCH($C88,Listas!$B$6:$B$20,0)),0)-$D88*IFERROR(INDEX(Listas!$D$6:$D$20,MATCH($C88,Listas!$B$6:$B$20,0)),0))</f>
        <v/>
      </c>
      <c r="H88" s="41" t="str">
        <f aca="false">IF(OR($F88="",$C88="",$D88=""),"",ABS($F88)*$D88*IFERROR(INDEX(Listas!$C$6:$C$20,MATCH($C88,Listas!$B$6:$B$20,0)),0))</f>
        <v/>
      </c>
      <c r="I88" s="42" t="str">
        <f aca="false">IF(OR($E88="",$F88="",$F88=0),"",$E88/ABS($F88))</f>
        <v/>
      </c>
      <c r="J88" s="43" t="str">
        <f aca="false">IF($B88="","",INDEX(Listas!$G$6:$G$12,WEEKDAY($B88,1)))</f>
        <v/>
      </c>
      <c r="K88" s="43" t="str">
        <f aca="false">IFERROR(IF($L88="","",TEXT(IF($L88&lt;1,HOUR($L88),INT($L88)),"00")&amp;":00"),"")</f>
        <v/>
      </c>
      <c r="L88" s="44"/>
      <c r="M88" s="45"/>
      <c r="N88" s="46"/>
      <c r="O88" s="45"/>
      <c r="P88" s="2"/>
      <c r="Q88" s="2"/>
      <c r="R88" s="2"/>
      <c r="S88" s="2"/>
      <c r="T88" s="2"/>
      <c r="U88" s="47" t="str">
        <f aca="false">IF($G88="","",IF($G88&lt;0,IF(N($U87)=0,1,$U87+1),0))</f>
        <v/>
      </c>
      <c r="V88" s="47" t="str">
        <f aca="false">IF($G88="","",IF($V87="",'Empieza aquí'!$D$8,$V87)+$G88)</f>
        <v/>
      </c>
      <c r="W88" s="47" t="str">
        <f aca="false">IF($V88="","",MAX(IF($W87="",'Empieza aquí'!$D$8,$W87),$V88))</f>
        <v/>
      </c>
      <c r="X88" s="47" t="str">
        <f aca="false">IF($V88="","",$V88-$W88)</f>
        <v/>
      </c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customFormat="false" ht="15" hidden="false" customHeight="true" outlineLevel="0" collapsed="false">
      <c r="A89" s="2"/>
      <c r="B89" s="36"/>
      <c r="C89" s="37"/>
      <c r="D89" s="37"/>
      <c r="E89" s="38"/>
      <c r="F89" s="39"/>
      <c r="G89" s="40" t="str">
        <f aca="false">IF(OR($E89="",$C89="",$D89=""),"",$E89*$D89*IFERROR(INDEX(Listas!$C$6:$C$20,MATCH($C89,Listas!$B$6:$B$20,0)),0)-$D89*IFERROR(INDEX(Listas!$D$6:$D$20,MATCH($C89,Listas!$B$6:$B$20,0)),0))</f>
        <v/>
      </c>
      <c r="H89" s="41" t="str">
        <f aca="false">IF(OR($F89="",$C89="",$D89=""),"",ABS($F89)*$D89*IFERROR(INDEX(Listas!$C$6:$C$20,MATCH($C89,Listas!$B$6:$B$20,0)),0))</f>
        <v/>
      </c>
      <c r="I89" s="42" t="str">
        <f aca="false">IF(OR($E89="",$F89="",$F89=0),"",$E89/ABS($F89))</f>
        <v/>
      </c>
      <c r="J89" s="43" t="str">
        <f aca="false">IF($B89="","",INDEX(Listas!$G$6:$G$12,WEEKDAY($B89,1)))</f>
        <v/>
      </c>
      <c r="K89" s="43" t="str">
        <f aca="false">IFERROR(IF($L89="","",TEXT(IF($L89&lt;1,HOUR($L89),INT($L89)),"00")&amp;":00"),"")</f>
        <v/>
      </c>
      <c r="L89" s="44"/>
      <c r="M89" s="45"/>
      <c r="N89" s="46"/>
      <c r="O89" s="45"/>
      <c r="P89" s="2"/>
      <c r="Q89" s="2"/>
      <c r="R89" s="2"/>
      <c r="S89" s="2"/>
      <c r="T89" s="2"/>
      <c r="U89" s="47" t="str">
        <f aca="false">IF($G89="","",IF($G89&lt;0,IF(N($U88)=0,1,$U88+1),0))</f>
        <v/>
      </c>
      <c r="V89" s="47" t="str">
        <f aca="false">IF($G89="","",IF($V88="",'Empieza aquí'!$D$8,$V88)+$G89)</f>
        <v/>
      </c>
      <c r="W89" s="47" t="str">
        <f aca="false">IF($V89="","",MAX(IF($W88="",'Empieza aquí'!$D$8,$W88),$V89))</f>
        <v/>
      </c>
      <c r="X89" s="47" t="str">
        <f aca="false">IF($V89="","",$V89-$W89)</f>
        <v/>
      </c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customFormat="false" ht="15" hidden="false" customHeight="true" outlineLevel="0" collapsed="false">
      <c r="A90" s="2"/>
      <c r="B90" s="36"/>
      <c r="C90" s="37"/>
      <c r="D90" s="37"/>
      <c r="E90" s="38"/>
      <c r="F90" s="39"/>
      <c r="G90" s="40" t="str">
        <f aca="false">IF(OR($E90="",$C90="",$D90=""),"",$E90*$D90*IFERROR(INDEX(Listas!$C$6:$C$20,MATCH($C90,Listas!$B$6:$B$20,0)),0)-$D90*IFERROR(INDEX(Listas!$D$6:$D$20,MATCH($C90,Listas!$B$6:$B$20,0)),0))</f>
        <v/>
      </c>
      <c r="H90" s="41" t="str">
        <f aca="false">IF(OR($F90="",$C90="",$D90=""),"",ABS($F90)*$D90*IFERROR(INDEX(Listas!$C$6:$C$20,MATCH($C90,Listas!$B$6:$B$20,0)),0))</f>
        <v/>
      </c>
      <c r="I90" s="42" t="str">
        <f aca="false">IF(OR($E90="",$F90="",$F90=0),"",$E90/ABS($F90))</f>
        <v/>
      </c>
      <c r="J90" s="43" t="str">
        <f aca="false">IF($B90="","",INDEX(Listas!$G$6:$G$12,WEEKDAY($B90,1)))</f>
        <v/>
      </c>
      <c r="K90" s="43" t="str">
        <f aca="false">IFERROR(IF($L90="","",TEXT(IF($L90&lt;1,HOUR($L90),INT($L90)),"00")&amp;":00"),"")</f>
        <v/>
      </c>
      <c r="L90" s="44"/>
      <c r="M90" s="45"/>
      <c r="N90" s="46"/>
      <c r="O90" s="45"/>
      <c r="P90" s="2"/>
      <c r="Q90" s="2"/>
      <c r="R90" s="2"/>
      <c r="S90" s="2"/>
      <c r="T90" s="2"/>
      <c r="U90" s="47" t="str">
        <f aca="false">IF($G90="","",IF($G90&lt;0,IF(N($U89)=0,1,$U89+1),0))</f>
        <v/>
      </c>
      <c r="V90" s="47" t="str">
        <f aca="false">IF($G90="","",IF($V89="",'Empieza aquí'!$D$8,$V89)+$G90)</f>
        <v/>
      </c>
      <c r="W90" s="47" t="str">
        <f aca="false">IF($V90="","",MAX(IF($W89="",'Empieza aquí'!$D$8,$W89),$V90))</f>
        <v/>
      </c>
      <c r="X90" s="47" t="str">
        <f aca="false">IF($V90="","",$V90-$W90)</f>
        <v/>
      </c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customFormat="false" ht="15" hidden="false" customHeight="true" outlineLevel="0" collapsed="false">
      <c r="A91" s="2"/>
      <c r="B91" s="36"/>
      <c r="C91" s="37"/>
      <c r="D91" s="37"/>
      <c r="E91" s="38"/>
      <c r="F91" s="39"/>
      <c r="G91" s="40" t="str">
        <f aca="false">IF(OR($E91="",$C91="",$D91=""),"",$E91*$D91*IFERROR(INDEX(Listas!$C$6:$C$20,MATCH($C91,Listas!$B$6:$B$20,0)),0)-$D91*IFERROR(INDEX(Listas!$D$6:$D$20,MATCH($C91,Listas!$B$6:$B$20,0)),0))</f>
        <v/>
      </c>
      <c r="H91" s="41" t="str">
        <f aca="false">IF(OR($F91="",$C91="",$D91=""),"",ABS($F91)*$D91*IFERROR(INDEX(Listas!$C$6:$C$20,MATCH($C91,Listas!$B$6:$B$20,0)),0))</f>
        <v/>
      </c>
      <c r="I91" s="42" t="str">
        <f aca="false">IF(OR($E91="",$F91="",$F91=0),"",$E91/ABS($F91))</f>
        <v/>
      </c>
      <c r="J91" s="43" t="str">
        <f aca="false">IF($B91="","",INDEX(Listas!$G$6:$G$12,WEEKDAY($B91,1)))</f>
        <v/>
      </c>
      <c r="K91" s="43" t="str">
        <f aca="false">IFERROR(IF($L91="","",TEXT(IF($L91&lt;1,HOUR($L91),INT($L91)),"00")&amp;":00"),"")</f>
        <v/>
      </c>
      <c r="L91" s="44"/>
      <c r="M91" s="45"/>
      <c r="N91" s="46"/>
      <c r="O91" s="45"/>
      <c r="P91" s="2"/>
      <c r="Q91" s="2"/>
      <c r="R91" s="2"/>
      <c r="S91" s="2"/>
      <c r="T91" s="2"/>
      <c r="U91" s="47" t="str">
        <f aca="false">IF($G91="","",IF($G91&lt;0,IF(N($U90)=0,1,$U90+1),0))</f>
        <v/>
      </c>
      <c r="V91" s="47" t="str">
        <f aca="false">IF($G91="","",IF($V90="",'Empieza aquí'!$D$8,$V90)+$G91)</f>
        <v/>
      </c>
      <c r="W91" s="47" t="str">
        <f aca="false">IF($V91="","",MAX(IF($W90="",'Empieza aquí'!$D$8,$W90),$V91))</f>
        <v/>
      </c>
      <c r="X91" s="47" t="str">
        <f aca="false">IF($V91="","",$V91-$W91)</f>
        <v/>
      </c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customFormat="false" ht="15" hidden="false" customHeight="true" outlineLevel="0" collapsed="false">
      <c r="A92" s="2"/>
      <c r="B92" s="36"/>
      <c r="C92" s="37"/>
      <c r="D92" s="37"/>
      <c r="E92" s="38"/>
      <c r="F92" s="39"/>
      <c r="G92" s="40" t="str">
        <f aca="false">IF(OR($E92="",$C92="",$D92=""),"",$E92*$D92*IFERROR(INDEX(Listas!$C$6:$C$20,MATCH($C92,Listas!$B$6:$B$20,0)),0)-$D92*IFERROR(INDEX(Listas!$D$6:$D$20,MATCH($C92,Listas!$B$6:$B$20,0)),0))</f>
        <v/>
      </c>
      <c r="H92" s="41" t="str">
        <f aca="false">IF(OR($F92="",$C92="",$D92=""),"",ABS($F92)*$D92*IFERROR(INDEX(Listas!$C$6:$C$20,MATCH($C92,Listas!$B$6:$B$20,0)),0))</f>
        <v/>
      </c>
      <c r="I92" s="42" t="str">
        <f aca="false">IF(OR($E92="",$F92="",$F92=0),"",$E92/ABS($F92))</f>
        <v/>
      </c>
      <c r="J92" s="43" t="str">
        <f aca="false">IF($B92="","",INDEX(Listas!$G$6:$G$12,WEEKDAY($B92,1)))</f>
        <v/>
      </c>
      <c r="K92" s="43" t="str">
        <f aca="false">IFERROR(IF($L92="","",TEXT(IF($L92&lt;1,HOUR($L92),INT($L92)),"00")&amp;":00"),"")</f>
        <v/>
      </c>
      <c r="L92" s="44"/>
      <c r="M92" s="45"/>
      <c r="N92" s="46"/>
      <c r="O92" s="45"/>
      <c r="P92" s="2"/>
      <c r="Q92" s="2"/>
      <c r="R92" s="2"/>
      <c r="S92" s="2"/>
      <c r="T92" s="2"/>
      <c r="U92" s="47" t="str">
        <f aca="false">IF($G92="","",IF($G92&lt;0,IF(N($U91)=0,1,$U91+1),0))</f>
        <v/>
      </c>
      <c r="V92" s="47" t="str">
        <f aca="false">IF($G92="","",IF($V91="",'Empieza aquí'!$D$8,$V91)+$G92)</f>
        <v/>
      </c>
      <c r="W92" s="47" t="str">
        <f aca="false">IF($V92="","",MAX(IF($W91="",'Empieza aquí'!$D$8,$W91),$V92))</f>
        <v/>
      </c>
      <c r="X92" s="47" t="str">
        <f aca="false">IF($V92="","",$V92-$W92)</f>
        <v/>
      </c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customFormat="false" ht="15" hidden="false" customHeight="true" outlineLevel="0" collapsed="false">
      <c r="A93" s="2"/>
      <c r="B93" s="36"/>
      <c r="C93" s="37"/>
      <c r="D93" s="37"/>
      <c r="E93" s="38"/>
      <c r="F93" s="39"/>
      <c r="G93" s="40" t="str">
        <f aca="false">IF(OR($E93="",$C93="",$D93=""),"",$E93*$D93*IFERROR(INDEX(Listas!$C$6:$C$20,MATCH($C93,Listas!$B$6:$B$20,0)),0)-$D93*IFERROR(INDEX(Listas!$D$6:$D$20,MATCH($C93,Listas!$B$6:$B$20,0)),0))</f>
        <v/>
      </c>
      <c r="H93" s="41" t="str">
        <f aca="false">IF(OR($F93="",$C93="",$D93=""),"",ABS($F93)*$D93*IFERROR(INDEX(Listas!$C$6:$C$20,MATCH($C93,Listas!$B$6:$B$20,0)),0))</f>
        <v/>
      </c>
      <c r="I93" s="42" t="str">
        <f aca="false">IF(OR($E93="",$F93="",$F93=0),"",$E93/ABS($F93))</f>
        <v/>
      </c>
      <c r="J93" s="43" t="str">
        <f aca="false">IF($B93="","",INDEX(Listas!$G$6:$G$12,WEEKDAY($B93,1)))</f>
        <v/>
      </c>
      <c r="K93" s="43" t="str">
        <f aca="false">IFERROR(IF($L93="","",TEXT(IF($L93&lt;1,HOUR($L93),INT($L93)),"00")&amp;":00"),"")</f>
        <v/>
      </c>
      <c r="L93" s="44"/>
      <c r="M93" s="45"/>
      <c r="N93" s="46"/>
      <c r="O93" s="45"/>
      <c r="P93" s="2"/>
      <c r="Q93" s="2"/>
      <c r="R93" s="2"/>
      <c r="S93" s="2"/>
      <c r="T93" s="2"/>
      <c r="U93" s="47" t="str">
        <f aca="false">IF($G93="","",IF($G93&lt;0,IF(N($U92)=0,1,$U92+1),0))</f>
        <v/>
      </c>
      <c r="V93" s="47" t="str">
        <f aca="false">IF($G93="","",IF($V92="",'Empieza aquí'!$D$8,$V92)+$G93)</f>
        <v/>
      </c>
      <c r="W93" s="47" t="str">
        <f aca="false">IF($V93="","",MAX(IF($W92="",'Empieza aquí'!$D$8,$W92),$V93))</f>
        <v/>
      </c>
      <c r="X93" s="47" t="str">
        <f aca="false">IF($V93="","",$V93-$W93)</f>
        <v/>
      </c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customFormat="false" ht="15" hidden="false" customHeight="true" outlineLevel="0" collapsed="false">
      <c r="A94" s="2"/>
      <c r="B94" s="36"/>
      <c r="C94" s="37"/>
      <c r="D94" s="37"/>
      <c r="E94" s="38"/>
      <c r="F94" s="39"/>
      <c r="G94" s="40" t="str">
        <f aca="false">IF(OR($E94="",$C94="",$D94=""),"",$E94*$D94*IFERROR(INDEX(Listas!$C$6:$C$20,MATCH($C94,Listas!$B$6:$B$20,0)),0)-$D94*IFERROR(INDEX(Listas!$D$6:$D$20,MATCH($C94,Listas!$B$6:$B$20,0)),0))</f>
        <v/>
      </c>
      <c r="H94" s="41" t="str">
        <f aca="false">IF(OR($F94="",$C94="",$D94=""),"",ABS($F94)*$D94*IFERROR(INDEX(Listas!$C$6:$C$20,MATCH($C94,Listas!$B$6:$B$20,0)),0))</f>
        <v/>
      </c>
      <c r="I94" s="42" t="str">
        <f aca="false">IF(OR($E94="",$F94="",$F94=0),"",$E94/ABS($F94))</f>
        <v/>
      </c>
      <c r="J94" s="43" t="str">
        <f aca="false">IF($B94="","",INDEX(Listas!$G$6:$G$12,WEEKDAY($B94,1)))</f>
        <v/>
      </c>
      <c r="K94" s="43" t="str">
        <f aca="false">IFERROR(IF($L94="","",TEXT(IF($L94&lt;1,HOUR($L94),INT($L94)),"00")&amp;":00"),"")</f>
        <v/>
      </c>
      <c r="L94" s="44"/>
      <c r="M94" s="45"/>
      <c r="N94" s="46"/>
      <c r="O94" s="45"/>
      <c r="P94" s="2"/>
      <c r="Q94" s="2"/>
      <c r="R94" s="2"/>
      <c r="S94" s="2"/>
      <c r="T94" s="2"/>
      <c r="U94" s="47" t="str">
        <f aca="false">IF($G94="","",IF($G94&lt;0,IF(N($U93)=0,1,$U93+1),0))</f>
        <v/>
      </c>
      <c r="V94" s="47" t="str">
        <f aca="false">IF($G94="","",IF($V93="",'Empieza aquí'!$D$8,$V93)+$G94)</f>
        <v/>
      </c>
      <c r="W94" s="47" t="str">
        <f aca="false">IF($V94="","",MAX(IF($W93="",'Empieza aquí'!$D$8,$W93),$V94))</f>
        <v/>
      </c>
      <c r="X94" s="47" t="str">
        <f aca="false">IF($V94="","",$V94-$W94)</f>
        <v/>
      </c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customFormat="false" ht="15" hidden="false" customHeight="true" outlineLevel="0" collapsed="false">
      <c r="A95" s="2"/>
      <c r="B95" s="36"/>
      <c r="C95" s="37"/>
      <c r="D95" s="37"/>
      <c r="E95" s="38"/>
      <c r="F95" s="39"/>
      <c r="G95" s="40" t="str">
        <f aca="false">IF(OR($E95="",$C95="",$D95=""),"",$E95*$D95*IFERROR(INDEX(Listas!$C$6:$C$20,MATCH($C95,Listas!$B$6:$B$20,0)),0)-$D95*IFERROR(INDEX(Listas!$D$6:$D$20,MATCH($C95,Listas!$B$6:$B$20,0)),0))</f>
        <v/>
      </c>
      <c r="H95" s="41" t="str">
        <f aca="false">IF(OR($F95="",$C95="",$D95=""),"",ABS($F95)*$D95*IFERROR(INDEX(Listas!$C$6:$C$20,MATCH($C95,Listas!$B$6:$B$20,0)),0))</f>
        <v/>
      </c>
      <c r="I95" s="42" t="str">
        <f aca="false">IF(OR($E95="",$F95="",$F95=0),"",$E95/ABS($F95))</f>
        <v/>
      </c>
      <c r="J95" s="43" t="str">
        <f aca="false">IF($B95="","",INDEX(Listas!$G$6:$G$12,WEEKDAY($B95,1)))</f>
        <v/>
      </c>
      <c r="K95" s="43" t="str">
        <f aca="false">IFERROR(IF($L95="","",TEXT(IF($L95&lt;1,HOUR($L95),INT($L95)),"00")&amp;":00"),"")</f>
        <v/>
      </c>
      <c r="L95" s="44"/>
      <c r="M95" s="45"/>
      <c r="N95" s="46"/>
      <c r="O95" s="45"/>
      <c r="P95" s="2"/>
      <c r="Q95" s="2"/>
      <c r="R95" s="2"/>
      <c r="S95" s="2"/>
      <c r="T95" s="2"/>
      <c r="U95" s="47" t="str">
        <f aca="false">IF($G95="","",IF($G95&lt;0,IF(N($U94)=0,1,$U94+1),0))</f>
        <v/>
      </c>
      <c r="V95" s="47" t="str">
        <f aca="false">IF($G95="","",IF($V94="",'Empieza aquí'!$D$8,$V94)+$G95)</f>
        <v/>
      </c>
      <c r="W95" s="47" t="str">
        <f aca="false">IF($V95="","",MAX(IF($W94="",'Empieza aquí'!$D$8,$W94),$V95))</f>
        <v/>
      </c>
      <c r="X95" s="47" t="str">
        <f aca="false">IF($V95="","",$V95-$W95)</f>
        <v/>
      </c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customFormat="false" ht="15" hidden="false" customHeight="true" outlineLevel="0" collapsed="false">
      <c r="A96" s="2"/>
      <c r="B96" s="36"/>
      <c r="C96" s="37"/>
      <c r="D96" s="37"/>
      <c r="E96" s="38"/>
      <c r="F96" s="39"/>
      <c r="G96" s="40" t="str">
        <f aca="false">IF(OR($E96="",$C96="",$D96=""),"",$E96*$D96*IFERROR(INDEX(Listas!$C$6:$C$20,MATCH($C96,Listas!$B$6:$B$20,0)),0)-$D96*IFERROR(INDEX(Listas!$D$6:$D$20,MATCH($C96,Listas!$B$6:$B$20,0)),0))</f>
        <v/>
      </c>
      <c r="H96" s="41" t="str">
        <f aca="false">IF(OR($F96="",$C96="",$D96=""),"",ABS($F96)*$D96*IFERROR(INDEX(Listas!$C$6:$C$20,MATCH($C96,Listas!$B$6:$B$20,0)),0))</f>
        <v/>
      </c>
      <c r="I96" s="42" t="str">
        <f aca="false">IF(OR($E96="",$F96="",$F96=0),"",$E96/ABS($F96))</f>
        <v/>
      </c>
      <c r="J96" s="43" t="str">
        <f aca="false">IF($B96="","",INDEX(Listas!$G$6:$G$12,WEEKDAY($B96,1)))</f>
        <v/>
      </c>
      <c r="K96" s="43" t="str">
        <f aca="false">IFERROR(IF($L96="","",TEXT(IF($L96&lt;1,HOUR($L96),INT($L96)),"00")&amp;":00"),"")</f>
        <v/>
      </c>
      <c r="L96" s="44"/>
      <c r="M96" s="45"/>
      <c r="N96" s="46"/>
      <c r="O96" s="45"/>
      <c r="P96" s="2"/>
      <c r="Q96" s="2"/>
      <c r="R96" s="2"/>
      <c r="S96" s="2"/>
      <c r="T96" s="2"/>
      <c r="U96" s="47" t="str">
        <f aca="false">IF($G96="","",IF($G96&lt;0,IF(N($U95)=0,1,$U95+1),0))</f>
        <v/>
      </c>
      <c r="V96" s="47" t="str">
        <f aca="false">IF($G96="","",IF($V95="",'Empieza aquí'!$D$8,$V95)+$G96)</f>
        <v/>
      </c>
      <c r="W96" s="47" t="str">
        <f aca="false">IF($V96="","",MAX(IF($W95="",'Empieza aquí'!$D$8,$W95),$V96))</f>
        <v/>
      </c>
      <c r="X96" s="47" t="str">
        <f aca="false">IF($V96="","",$V96-$W96)</f>
        <v/>
      </c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customFormat="false" ht="15" hidden="false" customHeight="true" outlineLevel="0" collapsed="false">
      <c r="A97" s="2"/>
      <c r="B97" s="36"/>
      <c r="C97" s="37"/>
      <c r="D97" s="37"/>
      <c r="E97" s="38"/>
      <c r="F97" s="39"/>
      <c r="G97" s="40" t="str">
        <f aca="false">IF(OR($E97="",$C97="",$D97=""),"",$E97*$D97*IFERROR(INDEX(Listas!$C$6:$C$20,MATCH($C97,Listas!$B$6:$B$20,0)),0)-$D97*IFERROR(INDEX(Listas!$D$6:$D$20,MATCH($C97,Listas!$B$6:$B$20,0)),0))</f>
        <v/>
      </c>
      <c r="H97" s="41" t="str">
        <f aca="false">IF(OR($F97="",$C97="",$D97=""),"",ABS($F97)*$D97*IFERROR(INDEX(Listas!$C$6:$C$20,MATCH($C97,Listas!$B$6:$B$20,0)),0))</f>
        <v/>
      </c>
      <c r="I97" s="42" t="str">
        <f aca="false">IF(OR($E97="",$F97="",$F97=0),"",$E97/ABS($F97))</f>
        <v/>
      </c>
      <c r="J97" s="43" t="str">
        <f aca="false">IF($B97="","",INDEX(Listas!$G$6:$G$12,WEEKDAY($B97,1)))</f>
        <v/>
      </c>
      <c r="K97" s="43" t="str">
        <f aca="false">IFERROR(IF($L97="","",TEXT(IF($L97&lt;1,HOUR($L97),INT($L97)),"00")&amp;":00"),"")</f>
        <v/>
      </c>
      <c r="L97" s="44"/>
      <c r="M97" s="45"/>
      <c r="N97" s="46"/>
      <c r="O97" s="45"/>
      <c r="P97" s="2"/>
      <c r="Q97" s="2"/>
      <c r="R97" s="2"/>
      <c r="S97" s="2"/>
      <c r="T97" s="2"/>
      <c r="U97" s="47" t="str">
        <f aca="false">IF($G97="","",IF($G97&lt;0,IF(N($U96)=0,1,$U96+1),0))</f>
        <v/>
      </c>
      <c r="V97" s="47" t="str">
        <f aca="false">IF($G97="","",IF($V96="",'Empieza aquí'!$D$8,$V96)+$G97)</f>
        <v/>
      </c>
      <c r="W97" s="47" t="str">
        <f aca="false">IF($V97="","",MAX(IF($W96="",'Empieza aquí'!$D$8,$W96),$V97))</f>
        <v/>
      </c>
      <c r="X97" s="47" t="str">
        <f aca="false">IF($V97="","",$V97-$W97)</f>
        <v/>
      </c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customFormat="false" ht="15" hidden="false" customHeight="true" outlineLevel="0" collapsed="false">
      <c r="A98" s="2"/>
      <c r="B98" s="36"/>
      <c r="C98" s="37"/>
      <c r="D98" s="37"/>
      <c r="E98" s="38"/>
      <c r="F98" s="39"/>
      <c r="G98" s="40" t="str">
        <f aca="false">IF(OR($E98="",$C98="",$D98=""),"",$E98*$D98*IFERROR(INDEX(Listas!$C$6:$C$20,MATCH($C98,Listas!$B$6:$B$20,0)),0)-$D98*IFERROR(INDEX(Listas!$D$6:$D$20,MATCH($C98,Listas!$B$6:$B$20,0)),0))</f>
        <v/>
      </c>
      <c r="H98" s="41" t="str">
        <f aca="false">IF(OR($F98="",$C98="",$D98=""),"",ABS($F98)*$D98*IFERROR(INDEX(Listas!$C$6:$C$20,MATCH($C98,Listas!$B$6:$B$20,0)),0))</f>
        <v/>
      </c>
      <c r="I98" s="42" t="str">
        <f aca="false">IF(OR($E98="",$F98="",$F98=0),"",$E98/ABS($F98))</f>
        <v/>
      </c>
      <c r="J98" s="43" t="str">
        <f aca="false">IF($B98="","",INDEX(Listas!$G$6:$G$12,WEEKDAY($B98,1)))</f>
        <v/>
      </c>
      <c r="K98" s="43" t="str">
        <f aca="false">IFERROR(IF($L98="","",TEXT(IF($L98&lt;1,HOUR($L98),INT($L98)),"00")&amp;":00"),"")</f>
        <v/>
      </c>
      <c r="L98" s="44"/>
      <c r="M98" s="45"/>
      <c r="N98" s="46"/>
      <c r="O98" s="45"/>
      <c r="P98" s="2"/>
      <c r="Q98" s="2"/>
      <c r="R98" s="2"/>
      <c r="S98" s="2"/>
      <c r="T98" s="2"/>
      <c r="U98" s="47" t="str">
        <f aca="false">IF($G98="","",IF($G98&lt;0,IF(N($U97)=0,1,$U97+1),0))</f>
        <v/>
      </c>
      <c r="V98" s="47" t="str">
        <f aca="false">IF($G98="","",IF($V97="",'Empieza aquí'!$D$8,$V97)+$G98)</f>
        <v/>
      </c>
      <c r="W98" s="47" t="str">
        <f aca="false">IF($V98="","",MAX(IF($W97="",'Empieza aquí'!$D$8,$W97),$V98))</f>
        <v/>
      </c>
      <c r="X98" s="47" t="str">
        <f aca="false">IF($V98="","",$V98-$W98)</f>
        <v/>
      </c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customFormat="false" ht="15" hidden="false" customHeight="true" outlineLevel="0" collapsed="false">
      <c r="A99" s="2"/>
      <c r="B99" s="36"/>
      <c r="C99" s="37"/>
      <c r="D99" s="37"/>
      <c r="E99" s="38"/>
      <c r="F99" s="39"/>
      <c r="G99" s="40" t="str">
        <f aca="false">IF(OR($E99="",$C99="",$D99=""),"",$E99*$D99*IFERROR(INDEX(Listas!$C$6:$C$20,MATCH($C99,Listas!$B$6:$B$20,0)),0)-$D99*IFERROR(INDEX(Listas!$D$6:$D$20,MATCH($C99,Listas!$B$6:$B$20,0)),0))</f>
        <v/>
      </c>
      <c r="H99" s="41" t="str">
        <f aca="false">IF(OR($F99="",$C99="",$D99=""),"",ABS($F99)*$D99*IFERROR(INDEX(Listas!$C$6:$C$20,MATCH($C99,Listas!$B$6:$B$20,0)),0))</f>
        <v/>
      </c>
      <c r="I99" s="42" t="str">
        <f aca="false">IF(OR($E99="",$F99="",$F99=0),"",$E99/ABS($F99))</f>
        <v/>
      </c>
      <c r="J99" s="43" t="str">
        <f aca="false">IF($B99="","",INDEX(Listas!$G$6:$G$12,WEEKDAY($B99,1)))</f>
        <v/>
      </c>
      <c r="K99" s="43" t="str">
        <f aca="false">IFERROR(IF($L99="","",TEXT(IF($L99&lt;1,HOUR($L99),INT($L99)),"00")&amp;":00"),"")</f>
        <v/>
      </c>
      <c r="L99" s="44"/>
      <c r="M99" s="45"/>
      <c r="N99" s="46"/>
      <c r="O99" s="45"/>
      <c r="P99" s="2"/>
      <c r="Q99" s="2"/>
      <c r="R99" s="2"/>
      <c r="S99" s="2"/>
      <c r="T99" s="2"/>
      <c r="U99" s="47" t="str">
        <f aca="false">IF($G99="","",IF($G99&lt;0,IF(N($U98)=0,1,$U98+1),0))</f>
        <v/>
      </c>
      <c r="V99" s="47" t="str">
        <f aca="false">IF($G99="","",IF($V98="",'Empieza aquí'!$D$8,$V98)+$G99)</f>
        <v/>
      </c>
      <c r="W99" s="47" t="str">
        <f aca="false">IF($V99="","",MAX(IF($W98="",'Empieza aquí'!$D$8,$W98),$V99))</f>
        <v/>
      </c>
      <c r="X99" s="47" t="str">
        <f aca="false">IF($V99="","",$V99-$W99)</f>
        <v/>
      </c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customFormat="false" ht="15" hidden="false" customHeight="true" outlineLevel="0" collapsed="false">
      <c r="A100" s="2"/>
      <c r="B100" s="36"/>
      <c r="C100" s="37"/>
      <c r="D100" s="37"/>
      <c r="E100" s="38"/>
      <c r="F100" s="39"/>
      <c r="G100" s="40" t="str">
        <f aca="false">IF(OR($E100="",$C100="",$D100=""),"",$E100*$D100*IFERROR(INDEX(Listas!$C$6:$C$20,MATCH($C100,Listas!$B$6:$B$20,0)),0)-$D100*IFERROR(INDEX(Listas!$D$6:$D$20,MATCH($C100,Listas!$B$6:$B$20,0)),0))</f>
        <v/>
      </c>
      <c r="H100" s="41" t="str">
        <f aca="false">IF(OR($F100="",$C100="",$D100=""),"",ABS($F100)*$D100*IFERROR(INDEX(Listas!$C$6:$C$20,MATCH($C100,Listas!$B$6:$B$20,0)),0))</f>
        <v/>
      </c>
      <c r="I100" s="42" t="str">
        <f aca="false">IF(OR($E100="",$F100="",$F100=0),"",$E100/ABS($F100))</f>
        <v/>
      </c>
      <c r="J100" s="43" t="str">
        <f aca="false">IF($B100="","",INDEX(Listas!$G$6:$G$12,WEEKDAY($B100,1)))</f>
        <v/>
      </c>
      <c r="K100" s="43" t="str">
        <f aca="false">IFERROR(IF($L100="","",TEXT(IF($L100&lt;1,HOUR($L100),INT($L100)),"00")&amp;":00"),"")</f>
        <v/>
      </c>
      <c r="L100" s="44"/>
      <c r="M100" s="45"/>
      <c r="N100" s="46"/>
      <c r="O100" s="45"/>
      <c r="P100" s="2"/>
      <c r="Q100" s="2"/>
      <c r="R100" s="2"/>
      <c r="S100" s="2"/>
      <c r="T100" s="2"/>
      <c r="U100" s="47" t="str">
        <f aca="false">IF($G100="","",IF($G100&lt;0,IF(N($U99)=0,1,$U99+1),0))</f>
        <v/>
      </c>
      <c r="V100" s="47" t="str">
        <f aca="false">IF($G100="","",IF($V99="",'Empieza aquí'!$D$8,$V99)+$G100)</f>
        <v/>
      </c>
      <c r="W100" s="47" t="str">
        <f aca="false">IF($V100="","",MAX(IF($W99="",'Empieza aquí'!$D$8,$W99),$V100))</f>
        <v/>
      </c>
      <c r="X100" s="47" t="str">
        <f aca="false">IF($V100="","",$V100-$W100)</f>
        <v/>
      </c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  <row r="101" customFormat="false" ht="15" hidden="false" customHeight="true" outlineLevel="0" collapsed="false">
      <c r="A101" s="2"/>
      <c r="B101" s="36"/>
      <c r="C101" s="37"/>
      <c r="D101" s="37"/>
      <c r="E101" s="38"/>
      <c r="F101" s="39"/>
      <c r="G101" s="40" t="str">
        <f aca="false">IF(OR($E101="",$C101="",$D101=""),"",$E101*$D101*IFERROR(INDEX(Listas!$C$6:$C$20,MATCH($C101,Listas!$B$6:$B$20,0)),0)-$D101*IFERROR(INDEX(Listas!$D$6:$D$20,MATCH($C101,Listas!$B$6:$B$20,0)),0))</f>
        <v/>
      </c>
      <c r="H101" s="41" t="str">
        <f aca="false">IF(OR($F101="",$C101="",$D101=""),"",ABS($F101)*$D101*IFERROR(INDEX(Listas!$C$6:$C$20,MATCH($C101,Listas!$B$6:$B$20,0)),0))</f>
        <v/>
      </c>
      <c r="I101" s="42" t="str">
        <f aca="false">IF(OR($E101="",$F101="",$F101=0),"",$E101/ABS($F101))</f>
        <v/>
      </c>
      <c r="J101" s="43" t="str">
        <f aca="false">IF($B101="","",INDEX(Listas!$G$6:$G$12,WEEKDAY($B101,1)))</f>
        <v/>
      </c>
      <c r="K101" s="43" t="str">
        <f aca="false">IFERROR(IF($L101="","",TEXT(IF($L101&lt;1,HOUR($L101),INT($L101)),"00")&amp;":00"),"")</f>
        <v/>
      </c>
      <c r="L101" s="44"/>
      <c r="M101" s="45"/>
      <c r="N101" s="46"/>
      <c r="O101" s="45"/>
      <c r="P101" s="2"/>
      <c r="Q101" s="2"/>
      <c r="R101" s="2"/>
      <c r="S101" s="2"/>
      <c r="T101" s="2"/>
      <c r="U101" s="47" t="str">
        <f aca="false">IF($G101="","",IF($G101&lt;0,IF(N($U100)=0,1,$U100+1),0))</f>
        <v/>
      </c>
      <c r="V101" s="47" t="str">
        <f aca="false">IF($G101="","",IF($V100="",'Empieza aquí'!$D$8,$V100)+$G101)</f>
        <v/>
      </c>
      <c r="W101" s="47" t="str">
        <f aca="false">IF($V101="","",MAX(IF($W100="",'Empieza aquí'!$D$8,$W100),$V101))</f>
        <v/>
      </c>
      <c r="X101" s="47" t="str">
        <f aca="false">IF($V101="","",$V101-$W101)</f>
        <v/>
      </c>
      <c r="Y101" s="3"/>
      <c r="Z101" s="3"/>
      <c r="AA101" s="3"/>
      <c r="AB101" s="3"/>
      <c r="AC101" s="3"/>
      <c r="AD101" s="3"/>
      <c r="AE101" s="3"/>
      <c r="AF101" s="3"/>
      <c r="AG101" s="3"/>
      <c r="AH101" s="3"/>
    </row>
    <row r="102" customFormat="false" ht="15" hidden="false" customHeight="true" outlineLevel="0" collapsed="false">
      <c r="A102" s="2"/>
      <c r="B102" s="36"/>
      <c r="C102" s="37"/>
      <c r="D102" s="37"/>
      <c r="E102" s="38"/>
      <c r="F102" s="39"/>
      <c r="G102" s="40" t="str">
        <f aca="false">IF(OR($E102="",$C102="",$D102=""),"",$E102*$D102*IFERROR(INDEX(Listas!$C$6:$C$20,MATCH($C102,Listas!$B$6:$B$20,0)),0)-$D102*IFERROR(INDEX(Listas!$D$6:$D$20,MATCH($C102,Listas!$B$6:$B$20,0)),0))</f>
        <v/>
      </c>
      <c r="H102" s="41" t="str">
        <f aca="false">IF(OR($F102="",$C102="",$D102=""),"",ABS($F102)*$D102*IFERROR(INDEX(Listas!$C$6:$C$20,MATCH($C102,Listas!$B$6:$B$20,0)),0))</f>
        <v/>
      </c>
      <c r="I102" s="42" t="str">
        <f aca="false">IF(OR($E102="",$F102="",$F102=0),"",$E102/ABS($F102))</f>
        <v/>
      </c>
      <c r="J102" s="43" t="str">
        <f aca="false">IF($B102="","",INDEX(Listas!$G$6:$G$12,WEEKDAY($B102,1)))</f>
        <v/>
      </c>
      <c r="K102" s="43" t="str">
        <f aca="false">IFERROR(IF($L102="","",TEXT(IF($L102&lt;1,HOUR($L102),INT($L102)),"00")&amp;":00"),"")</f>
        <v/>
      </c>
      <c r="L102" s="44"/>
      <c r="M102" s="45"/>
      <c r="N102" s="46"/>
      <c r="O102" s="45"/>
      <c r="P102" s="2"/>
      <c r="Q102" s="2"/>
      <c r="R102" s="2"/>
      <c r="S102" s="2"/>
      <c r="T102" s="2"/>
      <c r="U102" s="47" t="str">
        <f aca="false">IF($G102="","",IF($G102&lt;0,IF(N($U101)=0,1,$U101+1),0))</f>
        <v/>
      </c>
      <c r="V102" s="47" t="str">
        <f aca="false">IF($G102="","",IF($V101="",'Empieza aquí'!$D$8,$V101)+$G102)</f>
        <v/>
      </c>
      <c r="W102" s="47" t="str">
        <f aca="false">IF($V102="","",MAX(IF($W101="",'Empieza aquí'!$D$8,$W101),$V102))</f>
        <v/>
      </c>
      <c r="X102" s="47" t="str">
        <f aca="false">IF($V102="","",$V102-$W102)</f>
        <v/>
      </c>
      <c r="Y102" s="3"/>
      <c r="Z102" s="3"/>
      <c r="AA102" s="3"/>
      <c r="AB102" s="3"/>
      <c r="AC102" s="3"/>
      <c r="AD102" s="3"/>
      <c r="AE102" s="3"/>
      <c r="AF102" s="3"/>
      <c r="AG102" s="3"/>
      <c r="AH102" s="3"/>
    </row>
    <row r="103" customFormat="false" ht="15" hidden="false" customHeight="true" outlineLevel="0" collapsed="false">
      <c r="A103" s="2"/>
      <c r="B103" s="36"/>
      <c r="C103" s="37"/>
      <c r="D103" s="37"/>
      <c r="E103" s="38"/>
      <c r="F103" s="39"/>
      <c r="G103" s="40" t="str">
        <f aca="false">IF(OR($E103="",$C103="",$D103=""),"",$E103*$D103*IFERROR(INDEX(Listas!$C$6:$C$20,MATCH($C103,Listas!$B$6:$B$20,0)),0)-$D103*IFERROR(INDEX(Listas!$D$6:$D$20,MATCH($C103,Listas!$B$6:$B$20,0)),0))</f>
        <v/>
      </c>
      <c r="H103" s="41" t="str">
        <f aca="false">IF(OR($F103="",$C103="",$D103=""),"",ABS($F103)*$D103*IFERROR(INDEX(Listas!$C$6:$C$20,MATCH($C103,Listas!$B$6:$B$20,0)),0))</f>
        <v/>
      </c>
      <c r="I103" s="42" t="str">
        <f aca="false">IF(OR($E103="",$F103="",$F103=0),"",$E103/ABS($F103))</f>
        <v/>
      </c>
      <c r="J103" s="43" t="str">
        <f aca="false">IF($B103="","",INDEX(Listas!$G$6:$G$12,WEEKDAY($B103,1)))</f>
        <v/>
      </c>
      <c r="K103" s="43" t="str">
        <f aca="false">IFERROR(IF($L103="","",TEXT(IF($L103&lt;1,HOUR($L103),INT($L103)),"00")&amp;":00"),"")</f>
        <v/>
      </c>
      <c r="L103" s="44"/>
      <c r="M103" s="45"/>
      <c r="N103" s="46"/>
      <c r="O103" s="45"/>
      <c r="P103" s="2"/>
      <c r="Q103" s="2"/>
      <c r="R103" s="2"/>
      <c r="S103" s="2"/>
      <c r="T103" s="2"/>
      <c r="U103" s="47" t="str">
        <f aca="false">IF($G103="","",IF($G103&lt;0,IF(N($U102)=0,1,$U102+1),0))</f>
        <v/>
      </c>
      <c r="V103" s="47" t="str">
        <f aca="false">IF($G103="","",IF($V102="",'Empieza aquí'!$D$8,$V102)+$G103)</f>
        <v/>
      </c>
      <c r="W103" s="47" t="str">
        <f aca="false">IF($V103="","",MAX(IF($W102="",'Empieza aquí'!$D$8,$W102),$V103))</f>
        <v/>
      </c>
      <c r="X103" s="47" t="str">
        <f aca="false">IF($V103="","",$V103-$W103)</f>
        <v/>
      </c>
      <c r="Y103" s="3"/>
      <c r="Z103" s="3"/>
      <c r="AA103" s="3"/>
      <c r="AB103" s="3"/>
      <c r="AC103" s="3"/>
      <c r="AD103" s="3"/>
      <c r="AE103" s="3"/>
      <c r="AF103" s="3"/>
      <c r="AG103" s="3"/>
      <c r="AH103" s="3"/>
    </row>
    <row r="104" customFormat="false" ht="15" hidden="false" customHeight="true" outlineLevel="0" collapsed="false">
      <c r="A104" s="2"/>
      <c r="B104" s="36"/>
      <c r="C104" s="37"/>
      <c r="D104" s="37"/>
      <c r="E104" s="38"/>
      <c r="F104" s="39"/>
      <c r="G104" s="40" t="str">
        <f aca="false">IF(OR($E104="",$C104="",$D104=""),"",$E104*$D104*IFERROR(INDEX(Listas!$C$6:$C$20,MATCH($C104,Listas!$B$6:$B$20,0)),0)-$D104*IFERROR(INDEX(Listas!$D$6:$D$20,MATCH($C104,Listas!$B$6:$B$20,0)),0))</f>
        <v/>
      </c>
      <c r="H104" s="41" t="str">
        <f aca="false">IF(OR($F104="",$C104="",$D104=""),"",ABS($F104)*$D104*IFERROR(INDEX(Listas!$C$6:$C$20,MATCH($C104,Listas!$B$6:$B$20,0)),0))</f>
        <v/>
      </c>
      <c r="I104" s="42" t="str">
        <f aca="false">IF(OR($E104="",$F104="",$F104=0),"",$E104/ABS($F104))</f>
        <v/>
      </c>
      <c r="J104" s="43" t="str">
        <f aca="false">IF($B104="","",INDEX(Listas!$G$6:$G$12,WEEKDAY($B104,1)))</f>
        <v/>
      </c>
      <c r="K104" s="43" t="str">
        <f aca="false">IFERROR(IF($L104="","",TEXT(IF($L104&lt;1,HOUR($L104),INT($L104)),"00")&amp;":00"),"")</f>
        <v/>
      </c>
      <c r="L104" s="44"/>
      <c r="M104" s="45"/>
      <c r="N104" s="46"/>
      <c r="O104" s="45"/>
      <c r="P104" s="2"/>
      <c r="Q104" s="2"/>
      <c r="R104" s="2"/>
      <c r="S104" s="2"/>
      <c r="T104" s="2"/>
      <c r="U104" s="47" t="str">
        <f aca="false">IF($G104="","",IF($G104&lt;0,IF(N($U103)=0,1,$U103+1),0))</f>
        <v/>
      </c>
      <c r="V104" s="47" t="str">
        <f aca="false">IF($G104="","",IF($V103="",'Empieza aquí'!$D$8,$V103)+$G104)</f>
        <v/>
      </c>
      <c r="W104" s="47" t="str">
        <f aca="false">IF($V104="","",MAX(IF($W103="",'Empieza aquí'!$D$8,$W103),$V104))</f>
        <v/>
      </c>
      <c r="X104" s="47" t="str">
        <f aca="false">IF($V104="","",$V104-$W104)</f>
        <v/>
      </c>
      <c r="Y104" s="3"/>
      <c r="Z104" s="3"/>
      <c r="AA104" s="3"/>
      <c r="AB104" s="3"/>
      <c r="AC104" s="3"/>
      <c r="AD104" s="3"/>
      <c r="AE104" s="3"/>
      <c r="AF104" s="3"/>
      <c r="AG104" s="3"/>
      <c r="AH104" s="3"/>
    </row>
    <row r="105" customFormat="false" ht="15" hidden="false" customHeight="true" outlineLevel="0" collapsed="false">
      <c r="A105" s="2"/>
      <c r="B105" s="36"/>
      <c r="C105" s="37"/>
      <c r="D105" s="37"/>
      <c r="E105" s="38"/>
      <c r="F105" s="39"/>
      <c r="G105" s="40" t="str">
        <f aca="false">IF(OR($E105="",$C105="",$D105=""),"",$E105*$D105*IFERROR(INDEX(Listas!$C$6:$C$20,MATCH($C105,Listas!$B$6:$B$20,0)),0)-$D105*IFERROR(INDEX(Listas!$D$6:$D$20,MATCH($C105,Listas!$B$6:$B$20,0)),0))</f>
        <v/>
      </c>
      <c r="H105" s="41" t="str">
        <f aca="false">IF(OR($F105="",$C105="",$D105=""),"",ABS($F105)*$D105*IFERROR(INDEX(Listas!$C$6:$C$20,MATCH($C105,Listas!$B$6:$B$20,0)),0))</f>
        <v/>
      </c>
      <c r="I105" s="42" t="str">
        <f aca="false">IF(OR($E105="",$F105="",$F105=0),"",$E105/ABS($F105))</f>
        <v/>
      </c>
      <c r="J105" s="43" t="str">
        <f aca="false">IF($B105="","",INDEX(Listas!$G$6:$G$12,WEEKDAY($B105,1)))</f>
        <v/>
      </c>
      <c r="K105" s="43" t="str">
        <f aca="false">IFERROR(IF($L105="","",TEXT(IF($L105&lt;1,HOUR($L105),INT($L105)),"00")&amp;":00"),"")</f>
        <v/>
      </c>
      <c r="L105" s="44"/>
      <c r="M105" s="45"/>
      <c r="N105" s="46"/>
      <c r="O105" s="45"/>
      <c r="P105" s="2"/>
      <c r="Q105" s="2"/>
      <c r="R105" s="2"/>
      <c r="S105" s="2"/>
      <c r="T105" s="2"/>
      <c r="U105" s="47" t="str">
        <f aca="false">IF($G105="","",IF($G105&lt;0,IF(N($U104)=0,1,$U104+1),0))</f>
        <v/>
      </c>
      <c r="V105" s="47" t="str">
        <f aca="false">IF($G105="","",IF($V104="",'Empieza aquí'!$D$8,$V104)+$G105)</f>
        <v/>
      </c>
      <c r="W105" s="47" t="str">
        <f aca="false">IF($V105="","",MAX(IF($W104="",'Empieza aquí'!$D$8,$W104),$V105))</f>
        <v/>
      </c>
      <c r="X105" s="47" t="str">
        <f aca="false">IF($V105="","",$V105-$W105)</f>
        <v/>
      </c>
      <c r="Y105" s="3"/>
      <c r="Z105" s="3"/>
      <c r="AA105" s="3"/>
      <c r="AB105" s="3"/>
      <c r="AC105" s="3"/>
      <c r="AD105" s="3"/>
      <c r="AE105" s="3"/>
      <c r="AF105" s="3"/>
      <c r="AG105" s="3"/>
      <c r="AH105" s="3"/>
    </row>
    <row r="106" customFormat="false" ht="15" hidden="false" customHeight="true" outlineLevel="0" collapsed="false">
      <c r="A106" s="2"/>
      <c r="B106" s="36"/>
      <c r="C106" s="37"/>
      <c r="D106" s="37"/>
      <c r="E106" s="38"/>
      <c r="F106" s="39"/>
      <c r="G106" s="40" t="str">
        <f aca="false">IF(OR($E106="",$C106="",$D106=""),"",$E106*$D106*IFERROR(INDEX(Listas!$C$6:$C$20,MATCH($C106,Listas!$B$6:$B$20,0)),0)-$D106*IFERROR(INDEX(Listas!$D$6:$D$20,MATCH($C106,Listas!$B$6:$B$20,0)),0))</f>
        <v/>
      </c>
      <c r="H106" s="41" t="str">
        <f aca="false">IF(OR($F106="",$C106="",$D106=""),"",ABS($F106)*$D106*IFERROR(INDEX(Listas!$C$6:$C$20,MATCH($C106,Listas!$B$6:$B$20,0)),0))</f>
        <v/>
      </c>
      <c r="I106" s="42" t="str">
        <f aca="false">IF(OR($E106="",$F106="",$F106=0),"",$E106/ABS($F106))</f>
        <v/>
      </c>
      <c r="J106" s="43" t="str">
        <f aca="false">IF($B106="","",INDEX(Listas!$G$6:$G$12,WEEKDAY($B106,1)))</f>
        <v/>
      </c>
      <c r="K106" s="43" t="str">
        <f aca="false">IFERROR(IF($L106="","",TEXT(IF($L106&lt;1,HOUR($L106),INT($L106)),"00")&amp;":00"),"")</f>
        <v/>
      </c>
      <c r="L106" s="44"/>
      <c r="M106" s="45"/>
      <c r="N106" s="46"/>
      <c r="O106" s="45"/>
      <c r="P106" s="2"/>
      <c r="Q106" s="2"/>
      <c r="R106" s="2"/>
      <c r="S106" s="2"/>
      <c r="T106" s="2"/>
      <c r="U106" s="47" t="str">
        <f aca="false">IF($G106="","",IF($G106&lt;0,IF(N($U105)=0,1,$U105+1),0))</f>
        <v/>
      </c>
      <c r="V106" s="47" t="str">
        <f aca="false">IF($G106="","",IF($V105="",'Empieza aquí'!$D$8,$V105)+$G106)</f>
        <v/>
      </c>
      <c r="W106" s="47" t="str">
        <f aca="false">IF($V106="","",MAX(IF($W105="",'Empieza aquí'!$D$8,$W105),$V106))</f>
        <v/>
      </c>
      <c r="X106" s="47" t="str">
        <f aca="false">IF($V106="","",$V106-$W106)</f>
        <v/>
      </c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customFormat="false" ht="15" hidden="false" customHeight="true" outlineLevel="0" collapsed="false">
      <c r="A107" s="2"/>
      <c r="B107" s="36"/>
      <c r="C107" s="37"/>
      <c r="D107" s="37"/>
      <c r="E107" s="38"/>
      <c r="F107" s="39"/>
      <c r="G107" s="40" t="str">
        <f aca="false">IF(OR($E107="",$C107="",$D107=""),"",$E107*$D107*IFERROR(INDEX(Listas!$C$6:$C$20,MATCH($C107,Listas!$B$6:$B$20,0)),0)-$D107*IFERROR(INDEX(Listas!$D$6:$D$20,MATCH($C107,Listas!$B$6:$B$20,0)),0))</f>
        <v/>
      </c>
      <c r="H107" s="41" t="str">
        <f aca="false">IF(OR($F107="",$C107="",$D107=""),"",ABS($F107)*$D107*IFERROR(INDEX(Listas!$C$6:$C$20,MATCH($C107,Listas!$B$6:$B$20,0)),0))</f>
        <v/>
      </c>
      <c r="I107" s="42" t="str">
        <f aca="false">IF(OR($E107="",$F107="",$F107=0),"",$E107/ABS($F107))</f>
        <v/>
      </c>
      <c r="J107" s="43" t="str">
        <f aca="false">IF($B107="","",INDEX(Listas!$G$6:$G$12,WEEKDAY($B107,1)))</f>
        <v/>
      </c>
      <c r="K107" s="43" t="str">
        <f aca="false">IFERROR(IF($L107="","",TEXT(IF($L107&lt;1,HOUR($L107),INT($L107)),"00")&amp;":00"),"")</f>
        <v/>
      </c>
      <c r="L107" s="44"/>
      <c r="M107" s="45"/>
      <c r="N107" s="46"/>
      <c r="O107" s="45"/>
      <c r="P107" s="2"/>
      <c r="Q107" s="2"/>
      <c r="R107" s="2"/>
      <c r="S107" s="2"/>
      <c r="T107" s="2"/>
      <c r="U107" s="47" t="str">
        <f aca="false">IF($G107="","",IF($G107&lt;0,IF(N($U106)=0,1,$U106+1),0))</f>
        <v/>
      </c>
      <c r="V107" s="47" t="str">
        <f aca="false">IF($G107="","",IF($V106="",'Empieza aquí'!$D$8,$V106)+$G107)</f>
        <v/>
      </c>
      <c r="W107" s="47" t="str">
        <f aca="false">IF($V107="","",MAX(IF($W106="",'Empieza aquí'!$D$8,$W106),$V107))</f>
        <v/>
      </c>
      <c r="X107" s="47" t="str">
        <f aca="false">IF($V107="","",$V107-$W107)</f>
        <v/>
      </c>
      <c r="Y107" s="3"/>
      <c r="Z107" s="3"/>
      <c r="AA107" s="3"/>
      <c r="AB107" s="3"/>
      <c r="AC107" s="3"/>
      <c r="AD107" s="3"/>
      <c r="AE107" s="3"/>
      <c r="AF107" s="3"/>
      <c r="AG107" s="3"/>
      <c r="AH107" s="3"/>
    </row>
    <row r="108" customFormat="false" ht="15" hidden="false" customHeight="true" outlineLevel="0" collapsed="false">
      <c r="A108" s="2"/>
      <c r="B108" s="36"/>
      <c r="C108" s="37"/>
      <c r="D108" s="37"/>
      <c r="E108" s="38"/>
      <c r="F108" s="39"/>
      <c r="G108" s="40" t="str">
        <f aca="false">IF(OR($E108="",$C108="",$D108=""),"",$E108*$D108*IFERROR(INDEX(Listas!$C$6:$C$20,MATCH($C108,Listas!$B$6:$B$20,0)),0)-$D108*IFERROR(INDEX(Listas!$D$6:$D$20,MATCH($C108,Listas!$B$6:$B$20,0)),0))</f>
        <v/>
      </c>
      <c r="H108" s="41" t="str">
        <f aca="false">IF(OR($F108="",$C108="",$D108=""),"",ABS($F108)*$D108*IFERROR(INDEX(Listas!$C$6:$C$20,MATCH($C108,Listas!$B$6:$B$20,0)),0))</f>
        <v/>
      </c>
      <c r="I108" s="42" t="str">
        <f aca="false">IF(OR($E108="",$F108="",$F108=0),"",$E108/ABS($F108))</f>
        <v/>
      </c>
      <c r="J108" s="43" t="str">
        <f aca="false">IF($B108="","",INDEX(Listas!$G$6:$G$12,WEEKDAY($B108,1)))</f>
        <v/>
      </c>
      <c r="K108" s="43" t="str">
        <f aca="false">IFERROR(IF($L108="","",TEXT(IF($L108&lt;1,HOUR($L108),INT($L108)),"00")&amp;":00"),"")</f>
        <v/>
      </c>
      <c r="L108" s="44"/>
      <c r="M108" s="45"/>
      <c r="N108" s="46"/>
      <c r="O108" s="45"/>
      <c r="P108" s="2"/>
      <c r="Q108" s="2"/>
      <c r="R108" s="2"/>
      <c r="S108" s="2"/>
      <c r="T108" s="2"/>
      <c r="U108" s="47" t="str">
        <f aca="false">IF($G108="","",IF($G108&lt;0,IF(N($U107)=0,1,$U107+1),0))</f>
        <v/>
      </c>
      <c r="V108" s="47" t="str">
        <f aca="false">IF($G108="","",IF($V107="",'Empieza aquí'!$D$8,$V107)+$G108)</f>
        <v/>
      </c>
      <c r="W108" s="47" t="str">
        <f aca="false">IF($V108="","",MAX(IF($W107="",'Empieza aquí'!$D$8,$W107),$V108))</f>
        <v/>
      </c>
      <c r="X108" s="47" t="str">
        <f aca="false">IF($V108="","",$V108-$W108)</f>
        <v/>
      </c>
      <c r="Y108" s="3"/>
      <c r="Z108" s="3"/>
      <c r="AA108" s="3"/>
      <c r="AB108" s="3"/>
      <c r="AC108" s="3"/>
      <c r="AD108" s="3"/>
      <c r="AE108" s="3"/>
      <c r="AF108" s="3"/>
      <c r="AG108" s="3"/>
      <c r="AH108" s="3"/>
    </row>
    <row r="109" customFormat="false" ht="15" hidden="false" customHeight="true" outlineLevel="0" collapsed="false">
      <c r="A109" s="2"/>
      <c r="B109" s="36"/>
      <c r="C109" s="37"/>
      <c r="D109" s="37"/>
      <c r="E109" s="38"/>
      <c r="F109" s="39"/>
      <c r="G109" s="40" t="str">
        <f aca="false">IF(OR($E109="",$C109="",$D109=""),"",$E109*$D109*IFERROR(INDEX(Listas!$C$6:$C$20,MATCH($C109,Listas!$B$6:$B$20,0)),0)-$D109*IFERROR(INDEX(Listas!$D$6:$D$20,MATCH($C109,Listas!$B$6:$B$20,0)),0))</f>
        <v/>
      </c>
      <c r="H109" s="41" t="str">
        <f aca="false">IF(OR($F109="",$C109="",$D109=""),"",ABS($F109)*$D109*IFERROR(INDEX(Listas!$C$6:$C$20,MATCH($C109,Listas!$B$6:$B$20,0)),0))</f>
        <v/>
      </c>
      <c r="I109" s="42" t="str">
        <f aca="false">IF(OR($E109="",$F109="",$F109=0),"",$E109/ABS($F109))</f>
        <v/>
      </c>
      <c r="J109" s="43" t="str">
        <f aca="false">IF($B109="","",INDEX(Listas!$G$6:$G$12,WEEKDAY($B109,1)))</f>
        <v/>
      </c>
      <c r="K109" s="43" t="str">
        <f aca="false">IFERROR(IF($L109="","",TEXT(IF($L109&lt;1,HOUR($L109),INT($L109)),"00")&amp;":00"),"")</f>
        <v/>
      </c>
      <c r="L109" s="44"/>
      <c r="M109" s="45"/>
      <c r="N109" s="46"/>
      <c r="O109" s="45"/>
      <c r="P109" s="2"/>
      <c r="Q109" s="2"/>
      <c r="R109" s="2"/>
      <c r="S109" s="2"/>
      <c r="T109" s="2"/>
      <c r="U109" s="47" t="str">
        <f aca="false">IF($G109="","",IF($G109&lt;0,IF(N($U108)=0,1,$U108+1),0))</f>
        <v/>
      </c>
      <c r="V109" s="47" t="str">
        <f aca="false">IF($G109="","",IF($V108="",'Empieza aquí'!$D$8,$V108)+$G109)</f>
        <v/>
      </c>
      <c r="W109" s="47" t="str">
        <f aca="false">IF($V109="","",MAX(IF($W108="",'Empieza aquí'!$D$8,$W108),$V109))</f>
        <v/>
      </c>
      <c r="X109" s="47" t="str">
        <f aca="false">IF($V109="","",$V109-$W109)</f>
        <v/>
      </c>
      <c r="Y109" s="3"/>
      <c r="Z109" s="3"/>
      <c r="AA109" s="3"/>
      <c r="AB109" s="3"/>
      <c r="AC109" s="3"/>
      <c r="AD109" s="3"/>
      <c r="AE109" s="3"/>
      <c r="AF109" s="3"/>
      <c r="AG109" s="3"/>
      <c r="AH109" s="3"/>
    </row>
    <row r="110" customFormat="false" ht="15" hidden="false" customHeight="true" outlineLevel="0" collapsed="false">
      <c r="A110" s="2"/>
      <c r="B110" s="36"/>
      <c r="C110" s="37"/>
      <c r="D110" s="37"/>
      <c r="E110" s="38"/>
      <c r="F110" s="39"/>
      <c r="G110" s="40" t="str">
        <f aca="false">IF(OR($E110="",$C110="",$D110=""),"",$E110*$D110*IFERROR(INDEX(Listas!$C$6:$C$20,MATCH($C110,Listas!$B$6:$B$20,0)),0)-$D110*IFERROR(INDEX(Listas!$D$6:$D$20,MATCH($C110,Listas!$B$6:$B$20,0)),0))</f>
        <v/>
      </c>
      <c r="H110" s="41" t="str">
        <f aca="false">IF(OR($F110="",$C110="",$D110=""),"",ABS($F110)*$D110*IFERROR(INDEX(Listas!$C$6:$C$20,MATCH($C110,Listas!$B$6:$B$20,0)),0))</f>
        <v/>
      </c>
      <c r="I110" s="42" t="str">
        <f aca="false">IF(OR($E110="",$F110="",$F110=0),"",$E110/ABS($F110))</f>
        <v/>
      </c>
      <c r="J110" s="43" t="str">
        <f aca="false">IF($B110="","",INDEX(Listas!$G$6:$G$12,WEEKDAY($B110,1)))</f>
        <v/>
      </c>
      <c r="K110" s="43" t="str">
        <f aca="false">IFERROR(IF($L110="","",TEXT(IF($L110&lt;1,HOUR($L110),INT($L110)),"00")&amp;":00"),"")</f>
        <v/>
      </c>
      <c r="L110" s="44"/>
      <c r="M110" s="45"/>
      <c r="N110" s="46"/>
      <c r="O110" s="45"/>
      <c r="P110" s="2"/>
      <c r="Q110" s="2"/>
      <c r="R110" s="2"/>
      <c r="S110" s="2"/>
      <c r="T110" s="2"/>
      <c r="U110" s="47" t="str">
        <f aca="false">IF($G110="","",IF($G110&lt;0,IF(N($U109)=0,1,$U109+1),0))</f>
        <v/>
      </c>
      <c r="V110" s="47" t="str">
        <f aca="false">IF($G110="","",IF($V109="",'Empieza aquí'!$D$8,$V109)+$G110)</f>
        <v/>
      </c>
      <c r="W110" s="47" t="str">
        <f aca="false">IF($V110="","",MAX(IF($W109="",'Empieza aquí'!$D$8,$W109),$V110))</f>
        <v/>
      </c>
      <c r="X110" s="47" t="str">
        <f aca="false">IF($V110="","",$V110-$W110)</f>
        <v/>
      </c>
      <c r="Y110" s="3"/>
      <c r="Z110" s="3"/>
      <c r="AA110" s="3"/>
      <c r="AB110" s="3"/>
      <c r="AC110" s="3"/>
      <c r="AD110" s="3"/>
      <c r="AE110" s="3"/>
      <c r="AF110" s="3"/>
      <c r="AG110" s="3"/>
      <c r="AH110" s="3"/>
    </row>
    <row r="111" customFormat="false" ht="15" hidden="false" customHeight="true" outlineLevel="0" collapsed="false">
      <c r="A111" s="2"/>
      <c r="B111" s="36"/>
      <c r="C111" s="37"/>
      <c r="D111" s="37"/>
      <c r="E111" s="38"/>
      <c r="F111" s="39"/>
      <c r="G111" s="40" t="str">
        <f aca="false">IF(OR($E111="",$C111="",$D111=""),"",$E111*$D111*IFERROR(INDEX(Listas!$C$6:$C$20,MATCH($C111,Listas!$B$6:$B$20,0)),0)-$D111*IFERROR(INDEX(Listas!$D$6:$D$20,MATCH($C111,Listas!$B$6:$B$20,0)),0))</f>
        <v/>
      </c>
      <c r="H111" s="41" t="str">
        <f aca="false">IF(OR($F111="",$C111="",$D111=""),"",ABS($F111)*$D111*IFERROR(INDEX(Listas!$C$6:$C$20,MATCH($C111,Listas!$B$6:$B$20,0)),0))</f>
        <v/>
      </c>
      <c r="I111" s="42" t="str">
        <f aca="false">IF(OR($E111="",$F111="",$F111=0),"",$E111/ABS($F111))</f>
        <v/>
      </c>
      <c r="J111" s="43" t="str">
        <f aca="false">IF($B111="","",INDEX(Listas!$G$6:$G$12,WEEKDAY($B111,1)))</f>
        <v/>
      </c>
      <c r="K111" s="43" t="str">
        <f aca="false">IFERROR(IF($L111="","",TEXT(IF($L111&lt;1,HOUR($L111),INT($L111)),"00")&amp;":00"),"")</f>
        <v/>
      </c>
      <c r="L111" s="44"/>
      <c r="M111" s="45"/>
      <c r="N111" s="46"/>
      <c r="O111" s="45"/>
      <c r="P111" s="2"/>
      <c r="Q111" s="2"/>
      <c r="R111" s="2"/>
      <c r="S111" s="2"/>
      <c r="T111" s="2"/>
      <c r="U111" s="47" t="str">
        <f aca="false">IF($G111="","",IF($G111&lt;0,IF(N($U110)=0,1,$U110+1),0))</f>
        <v/>
      </c>
      <c r="V111" s="47" t="str">
        <f aca="false">IF($G111="","",IF($V110="",'Empieza aquí'!$D$8,$V110)+$G111)</f>
        <v/>
      </c>
      <c r="W111" s="47" t="str">
        <f aca="false">IF($V111="","",MAX(IF($W110="",'Empieza aquí'!$D$8,$W110),$V111))</f>
        <v/>
      </c>
      <c r="X111" s="47" t="str">
        <f aca="false">IF($V111="","",$V111-$W111)</f>
        <v/>
      </c>
      <c r="Y111" s="3"/>
      <c r="Z111" s="3"/>
      <c r="AA111" s="3"/>
      <c r="AB111" s="3"/>
      <c r="AC111" s="3"/>
      <c r="AD111" s="3"/>
      <c r="AE111" s="3"/>
      <c r="AF111" s="3"/>
      <c r="AG111" s="3"/>
      <c r="AH111" s="3"/>
    </row>
    <row r="112" customFormat="false" ht="15" hidden="false" customHeight="true" outlineLevel="0" collapsed="false">
      <c r="A112" s="2"/>
      <c r="B112" s="36"/>
      <c r="C112" s="37"/>
      <c r="D112" s="37"/>
      <c r="E112" s="38"/>
      <c r="F112" s="39"/>
      <c r="G112" s="40" t="str">
        <f aca="false">IF(OR($E112="",$C112="",$D112=""),"",$E112*$D112*IFERROR(INDEX(Listas!$C$6:$C$20,MATCH($C112,Listas!$B$6:$B$20,0)),0)-$D112*IFERROR(INDEX(Listas!$D$6:$D$20,MATCH($C112,Listas!$B$6:$B$20,0)),0))</f>
        <v/>
      </c>
      <c r="H112" s="41" t="str">
        <f aca="false">IF(OR($F112="",$C112="",$D112=""),"",ABS($F112)*$D112*IFERROR(INDEX(Listas!$C$6:$C$20,MATCH($C112,Listas!$B$6:$B$20,0)),0))</f>
        <v/>
      </c>
      <c r="I112" s="42" t="str">
        <f aca="false">IF(OR($E112="",$F112="",$F112=0),"",$E112/ABS($F112))</f>
        <v/>
      </c>
      <c r="J112" s="43" t="str">
        <f aca="false">IF($B112="","",INDEX(Listas!$G$6:$G$12,WEEKDAY($B112,1)))</f>
        <v/>
      </c>
      <c r="K112" s="43" t="str">
        <f aca="false">IFERROR(IF($L112="","",TEXT(IF($L112&lt;1,HOUR($L112),INT($L112)),"00")&amp;":00"),"")</f>
        <v/>
      </c>
      <c r="L112" s="44"/>
      <c r="M112" s="45"/>
      <c r="N112" s="46"/>
      <c r="O112" s="45"/>
      <c r="P112" s="2"/>
      <c r="Q112" s="2"/>
      <c r="R112" s="2"/>
      <c r="S112" s="2"/>
      <c r="T112" s="2"/>
      <c r="U112" s="47" t="str">
        <f aca="false">IF($G112="","",IF($G112&lt;0,IF(N($U111)=0,1,$U111+1),0))</f>
        <v/>
      </c>
      <c r="V112" s="47" t="str">
        <f aca="false">IF($G112="","",IF($V111="",'Empieza aquí'!$D$8,$V111)+$G112)</f>
        <v/>
      </c>
      <c r="W112" s="47" t="str">
        <f aca="false">IF($V112="","",MAX(IF($W111="",'Empieza aquí'!$D$8,$W111),$V112))</f>
        <v/>
      </c>
      <c r="X112" s="47" t="str">
        <f aca="false">IF($V112="","",$V112-$W112)</f>
        <v/>
      </c>
      <c r="Y112" s="3"/>
      <c r="Z112" s="3"/>
      <c r="AA112" s="3"/>
      <c r="AB112" s="3"/>
      <c r="AC112" s="3"/>
      <c r="AD112" s="3"/>
      <c r="AE112" s="3"/>
      <c r="AF112" s="3"/>
      <c r="AG112" s="3"/>
      <c r="AH112" s="3"/>
    </row>
    <row r="113" customFormat="false" ht="15" hidden="false" customHeight="true" outlineLevel="0" collapsed="false">
      <c r="A113" s="2"/>
      <c r="B113" s="36"/>
      <c r="C113" s="37"/>
      <c r="D113" s="37"/>
      <c r="E113" s="38"/>
      <c r="F113" s="39"/>
      <c r="G113" s="40" t="str">
        <f aca="false">IF(OR($E113="",$C113="",$D113=""),"",$E113*$D113*IFERROR(INDEX(Listas!$C$6:$C$20,MATCH($C113,Listas!$B$6:$B$20,0)),0)-$D113*IFERROR(INDEX(Listas!$D$6:$D$20,MATCH($C113,Listas!$B$6:$B$20,0)),0))</f>
        <v/>
      </c>
      <c r="H113" s="41" t="str">
        <f aca="false">IF(OR($F113="",$C113="",$D113=""),"",ABS($F113)*$D113*IFERROR(INDEX(Listas!$C$6:$C$20,MATCH($C113,Listas!$B$6:$B$20,0)),0))</f>
        <v/>
      </c>
      <c r="I113" s="42" t="str">
        <f aca="false">IF(OR($E113="",$F113="",$F113=0),"",$E113/ABS($F113))</f>
        <v/>
      </c>
      <c r="J113" s="43" t="str">
        <f aca="false">IF($B113="","",INDEX(Listas!$G$6:$G$12,WEEKDAY($B113,1)))</f>
        <v/>
      </c>
      <c r="K113" s="43" t="str">
        <f aca="false">IFERROR(IF($L113="","",TEXT(IF($L113&lt;1,HOUR($L113),INT($L113)),"00")&amp;":00"),"")</f>
        <v/>
      </c>
      <c r="L113" s="44"/>
      <c r="M113" s="45"/>
      <c r="N113" s="46"/>
      <c r="O113" s="45"/>
      <c r="P113" s="2"/>
      <c r="Q113" s="2"/>
      <c r="R113" s="2"/>
      <c r="S113" s="2"/>
      <c r="T113" s="2"/>
      <c r="U113" s="47" t="str">
        <f aca="false">IF($G113="","",IF($G113&lt;0,IF(N($U112)=0,1,$U112+1),0))</f>
        <v/>
      </c>
      <c r="V113" s="47" t="str">
        <f aca="false">IF($G113="","",IF($V112="",'Empieza aquí'!$D$8,$V112)+$G113)</f>
        <v/>
      </c>
      <c r="W113" s="47" t="str">
        <f aca="false">IF($V113="","",MAX(IF($W112="",'Empieza aquí'!$D$8,$W112),$V113))</f>
        <v/>
      </c>
      <c r="X113" s="47" t="str">
        <f aca="false">IF($V113="","",$V113-$W113)</f>
        <v/>
      </c>
      <c r="Y113" s="3"/>
      <c r="Z113" s="3"/>
      <c r="AA113" s="3"/>
      <c r="AB113" s="3"/>
      <c r="AC113" s="3"/>
      <c r="AD113" s="3"/>
      <c r="AE113" s="3"/>
      <c r="AF113" s="3"/>
      <c r="AG113" s="3"/>
      <c r="AH113" s="3"/>
    </row>
    <row r="114" customFormat="false" ht="15" hidden="false" customHeight="true" outlineLevel="0" collapsed="false">
      <c r="A114" s="2"/>
      <c r="B114" s="36"/>
      <c r="C114" s="37"/>
      <c r="D114" s="37"/>
      <c r="E114" s="38"/>
      <c r="F114" s="39"/>
      <c r="G114" s="40" t="str">
        <f aca="false">IF(OR($E114="",$C114="",$D114=""),"",$E114*$D114*IFERROR(INDEX(Listas!$C$6:$C$20,MATCH($C114,Listas!$B$6:$B$20,0)),0)-$D114*IFERROR(INDEX(Listas!$D$6:$D$20,MATCH($C114,Listas!$B$6:$B$20,0)),0))</f>
        <v/>
      </c>
      <c r="H114" s="41" t="str">
        <f aca="false">IF(OR($F114="",$C114="",$D114=""),"",ABS($F114)*$D114*IFERROR(INDEX(Listas!$C$6:$C$20,MATCH($C114,Listas!$B$6:$B$20,0)),0))</f>
        <v/>
      </c>
      <c r="I114" s="42" t="str">
        <f aca="false">IF(OR($E114="",$F114="",$F114=0),"",$E114/ABS($F114))</f>
        <v/>
      </c>
      <c r="J114" s="43" t="str">
        <f aca="false">IF($B114="","",INDEX(Listas!$G$6:$G$12,WEEKDAY($B114,1)))</f>
        <v/>
      </c>
      <c r="K114" s="43" t="str">
        <f aca="false">IFERROR(IF($L114="","",TEXT(IF($L114&lt;1,HOUR($L114),INT($L114)),"00")&amp;":00"),"")</f>
        <v/>
      </c>
      <c r="L114" s="44"/>
      <c r="M114" s="45"/>
      <c r="N114" s="46"/>
      <c r="O114" s="45"/>
      <c r="P114" s="2"/>
      <c r="Q114" s="2"/>
      <c r="R114" s="2"/>
      <c r="S114" s="2"/>
      <c r="T114" s="2"/>
      <c r="U114" s="47" t="str">
        <f aca="false">IF($G114="","",IF($G114&lt;0,IF(N($U113)=0,1,$U113+1),0))</f>
        <v/>
      </c>
      <c r="V114" s="47" t="str">
        <f aca="false">IF($G114="","",IF($V113="",'Empieza aquí'!$D$8,$V113)+$G114)</f>
        <v/>
      </c>
      <c r="W114" s="47" t="str">
        <f aca="false">IF($V114="","",MAX(IF($W113="",'Empieza aquí'!$D$8,$W113),$V114))</f>
        <v/>
      </c>
      <c r="X114" s="47" t="str">
        <f aca="false">IF($V114="","",$V114-$W114)</f>
        <v/>
      </c>
      <c r="Y114" s="3"/>
      <c r="Z114" s="3"/>
      <c r="AA114" s="3"/>
      <c r="AB114" s="3"/>
      <c r="AC114" s="3"/>
      <c r="AD114" s="3"/>
      <c r="AE114" s="3"/>
      <c r="AF114" s="3"/>
      <c r="AG114" s="3"/>
      <c r="AH114" s="3"/>
    </row>
    <row r="115" customFormat="false" ht="15" hidden="false" customHeight="true" outlineLevel="0" collapsed="false">
      <c r="A115" s="2"/>
      <c r="B115" s="36"/>
      <c r="C115" s="37"/>
      <c r="D115" s="37"/>
      <c r="E115" s="38"/>
      <c r="F115" s="39"/>
      <c r="G115" s="40" t="str">
        <f aca="false">IF(OR($E115="",$C115="",$D115=""),"",$E115*$D115*IFERROR(INDEX(Listas!$C$6:$C$20,MATCH($C115,Listas!$B$6:$B$20,0)),0)-$D115*IFERROR(INDEX(Listas!$D$6:$D$20,MATCH($C115,Listas!$B$6:$B$20,0)),0))</f>
        <v/>
      </c>
      <c r="H115" s="41" t="str">
        <f aca="false">IF(OR($F115="",$C115="",$D115=""),"",ABS($F115)*$D115*IFERROR(INDEX(Listas!$C$6:$C$20,MATCH($C115,Listas!$B$6:$B$20,0)),0))</f>
        <v/>
      </c>
      <c r="I115" s="42" t="str">
        <f aca="false">IF(OR($E115="",$F115="",$F115=0),"",$E115/ABS($F115))</f>
        <v/>
      </c>
      <c r="J115" s="43" t="str">
        <f aca="false">IF($B115="","",INDEX(Listas!$G$6:$G$12,WEEKDAY($B115,1)))</f>
        <v/>
      </c>
      <c r="K115" s="43" t="str">
        <f aca="false">IFERROR(IF($L115="","",TEXT(IF($L115&lt;1,HOUR($L115),INT($L115)),"00")&amp;":00"),"")</f>
        <v/>
      </c>
      <c r="L115" s="44"/>
      <c r="M115" s="45"/>
      <c r="N115" s="46"/>
      <c r="O115" s="45"/>
      <c r="P115" s="2"/>
      <c r="Q115" s="2"/>
      <c r="R115" s="2"/>
      <c r="S115" s="2"/>
      <c r="T115" s="2"/>
      <c r="U115" s="47" t="str">
        <f aca="false">IF($G115="","",IF($G115&lt;0,IF(N($U114)=0,1,$U114+1),0))</f>
        <v/>
      </c>
      <c r="V115" s="47" t="str">
        <f aca="false">IF($G115="","",IF($V114="",'Empieza aquí'!$D$8,$V114)+$G115)</f>
        <v/>
      </c>
      <c r="W115" s="47" t="str">
        <f aca="false">IF($V115="","",MAX(IF($W114="",'Empieza aquí'!$D$8,$W114),$V115))</f>
        <v/>
      </c>
      <c r="X115" s="47" t="str">
        <f aca="false">IF($V115="","",$V115-$W115)</f>
        <v/>
      </c>
      <c r="Y115" s="3"/>
      <c r="Z115" s="3"/>
      <c r="AA115" s="3"/>
      <c r="AB115" s="3"/>
      <c r="AC115" s="3"/>
      <c r="AD115" s="3"/>
      <c r="AE115" s="3"/>
      <c r="AF115" s="3"/>
      <c r="AG115" s="3"/>
      <c r="AH115" s="3"/>
    </row>
    <row r="116" customFormat="false" ht="15" hidden="false" customHeight="true" outlineLevel="0" collapsed="false">
      <c r="A116" s="2"/>
      <c r="B116" s="36"/>
      <c r="C116" s="37"/>
      <c r="D116" s="37"/>
      <c r="E116" s="38"/>
      <c r="F116" s="39"/>
      <c r="G116" s="40" t="str">
        <f aca="false">IF(OR($E116="",$C116="",$D116=""),"",$E116*$D116*IFERROR(INDEX(Listas!$C$6:$C$20,MATCH($C116,Listas!$B$6:$B$20,0)),0)-$D116*IFERROR(INDEX(Listas!$D$6:$D$20,MATCH($C116,Listas!$B$6:$B$20,0)),0))</f>
        <v/>
      </c>
      <c r="H116" s="41" t="str">
        <f aca="false">IF(OR($F116="",$C116="",$D116=""),"",ABS($F116)*$D116*IFERROR(INDEX(Listas!$C$6:$C$20,MATCH($C116,Listas!$B$6:$B$20,0)),0))</f>
        <v/>
      </c>
      <c r="I116" s="42" t="str">
        <f aca="false">IF(OR($E116="",$F116="",$F116=0),"",$E116/ABS($F116))</f>
        <v/>
      </c>
      <c r="J116" s="43" t="str">
        <f aca="false">IF($B116="","",INDEX(Listas!$G$6:$G$12,WEEKDAY($B116,1)))</f>
        <v/>
      </c>
      <c r="K116" s="43" t="str">
        <f aca="false">IFERROR(IF($L116="","",TEXT(IF($L116&lt;1,HOUR($L116),INT($L116)),"00")&amp;":00"),"")</f>
        <v/>
      </c>
      <c r="L116" s="44"/>
      <c r="M116" s="45"/>
      <c r="N116" s="46"/>
      <c r="O116" s="45"/>
      <c r="P116" s="2"/>
      <c r="Q116" s="2"/>
      <c r="R116" s="2"/>
      <c r="S116" s="2"/>
      <c r="T116" s="2"/>
      <c r="U116" s="47" t="str">
        <f aca="false">IF($G116="","",IF($G116&lt;0,IF(N($U115)=0,1,$U115+1),0))</f>
        <v/>
      </c>
      <c r="V116" s="47" t="str">
        <f aca="false">IF($G116="","",IF($V115="",'Empieza aquí'!$D$8,$V115)+$G116)</f>
        <v/>
      </c>
      <c r="W116" s="47" t="str">
        <f aca="false">IF($V116="","",MAX(IF($W115="",'Empieza aquí'!$D$8,$W115),$V116))</f>
        <v/>
      </c>
      <c r="X116" s="47" t="str">
        <f aca="false">IF($V116="","",$V116-$W116)</f>
        <v/>
      </c>
      <c r="Y116" s="3"/>
      <c r="Z116" s="3"/>
      <c r="AA116" s="3"/>
      <c r="AB116" s="3"/>
      <c r="AC116" s="3"/>
      <c r="AD116" s="3"/>
      <c r="AE116" s="3"/>
      <c r="AF116" s="3"/>
      <c r="AG116" s="3"/>
      <c r="AH116" s="3"/>
    </row>
    <row r="117" customFormat="false" ht="15" hidden="false" customHeight="true" outlineLevel="0" collapsed="false">
      <c r="A117" s="2"/>
      <c r="B117" s="36"/>
      <c r="C117" s="37"/>
      <c r="D117" s="37"/>
      <c r="E117" s="38"/>
      <c r="F117" s="39"/>
      <c r="G117" s="40" t="str">
        <f aca="false">IF(OR($E117="",$C117="",$D117=""),"",$E117*$D117*IFERROR(INDEX(Listas!$C$6:$C$20,MATCH($C117,Listas!$B$6:$B$20,0)),0)-$D117*IFERROR(INDEX(Listas!$D$6:$D$20,MATCH($C117,Listas!$B$6:$B$20,0)),0))</f>
        <v/>
      </c>
      <c r="H117" s="41" t="str">
        <f aca="false">IF(OR($F117="",$C117="",$D117=""),"",ABS($F117)*$D117*IFERROR(INDEX(Listas!$C$6:$C$20,MATCH($C117,Listas!$B$6:$B$20,0)),0))</f>
        <v/>
      </c>
      <c r="I117" s="42" t="str">
        <f aca="false">IF(OR($E117="",$F117="",$F117=0),"",$E117/ABS($F117))</f>
        <v/>
      </c>
      <c r="J117" s="43" t="str">
        <f aca="false">IF($B117="","",INDEX(Listas!$G$6:$G$12,WEEKDAY($B117,1)))</f>
        <v/>
      </c>
      <c r="K117" s="43" t="str">
        <f aca="false">IFERROR(IF($L117="","",TEXT(IF($L117&lt;1,HOUR($L117),INT($L117)),"00")&amp;":00"),"")</f>
        <v/>
      </c>
      <c r="L117" s="44"/>
      <c r="M117" s="45"/>
      <c r="N117" s="46"/>
      <c r="O117" s="45"/>
      <c r="P117" s="2"/>
      <c r="Q117" s="2"/>
      <c r="R117" s="2"/>
      <c r="S117" s="2"/>
      <c r="T117" s="2"/>
      <c r="U117" s="47" t="str">
        <f aca="false">IF($G117="","",IF($G117&lt;0,IF(N($U116)=0,1,$U116+1),0))</f>
        <v/>
      </c>
      <c r="V117" s="47" t="str">
        <f aca="false">IF($G117="","",IF($V116="",'Empieza aquí'!$D$8,$V116)+$G117)</f>
        <v/>
      </c>
      <c r="W117" s="47" t="str">
        <f aca="false">IF($V117="","",MAX(IF($W116="",'Empieza aquí'!$D$8,$W116),$V117))</f>
        <v/>
      </c>
      <c r="X117" s="47" t="str">
        <f aca="false">IF($V117="","",$V117-$W117)</f>
        <v/>
      </c>
      <c r="Y117" s="3"/>
      <c r="Z117" s="3"/>
      <c r="AA117" s="3"/>
      <c r="AB117" s="3"/>
      <c r="AC117" s="3"/>
      <c r="AD117" s="3"/>
      <c r="AE117" s="3"/>
      <c r="AF117" s="3"/>
      <c r="AG117" s="3"/>
      <c r="AH117" s="3"/>
    </row>
    <row r="118" customFormat="false" ht="15" hidden="false" customHeight="true" outlineLevel="0" collapsed="false">
      <c r="A118" s="2"/>
      <c r="B118" s="36"/>
      <c r="C118" s="37"/>
      <c r="D118" s="37"/>
      <c r="E118" s="38"/>
      <c r="F118" s="39"/>
      <c r="G118" s="40" t="str">
        <f aca="false">IF(OR($E118="",$C118="",$D118=""),"",$E118*$D118*IFERROR(INDEX(Listas!$C$6:$C$20,MATCH($C118,Listas!$B$6:$B$20,0)),0)-$D118*IFERROR(INDEX(Listas!$D$6:$D$20,MATCH($C118,Listas!$B$6:$B$20,0)),0))</f>
        <v/>
      </c>
      <c r="H118" s="41" t="str">
        <f aca="false">IF(OR($F118="",$C118="",$D118=""),"",ABS($F118)*$D118*IFERROR(INDEX(Listas!$C$6:$C$20,MATCH($C118,Listas!$B$6:$B$20,0)),0))</f>
        <v/>
      </c>
      <c r="I118" s="42" t="str">
        <f aca="false">IF(OR($E118="",$F118="",$F118=0),"",$E118/ABS($F118))</f>
        <v/>
      </c>
      <c r="J118" s="43" t="str">
        <f aca="false">IF($B118="","",INDEX(Listas!$G$6:$G$12,WEEKDAY($B118,1)))</f>
        <v/>
      </c>
      <c r="K118" s="43" t="str">
        <f aca="false">IFERROR(IF($L118="","",TEXT(IF($L118&lt;1,HOUR($L118),INT($L118)),"00")&amp;":00"),"")</f>
        <v/>
      </c>
      <c r="L118" s="44"/>
      <c r="M118" s="45"/>
      <c r="N118" s="46"/>
      <c r="O118" s="45"/>
      <c r="P118" s="2"/>
      <c r="Q118" s="2"/>
      <c r="R118" s="2"/>
      <c r="S118" s="2"/>
      <c r="T118" s="2"/>
      <c r="U118" s="47" t="str">
        <f aca="false">IF($G118="","",IF($G118&lt;0,IF(N($U117)=0,1,$U117+1),0))</f>
        <v/>
      </c>
      <c r="V118" s="47" t="str">
        <f aca="false">IF($G118="","",IF($V117="",'Empieza aquí'!$D$8,$V117)+$G118)</f>
        <v/>
      </c>
      <c r="W118" s="47" t="str">
        <f aca="false">IF($V118="","",MAX(IF($W117="",'Empieza aquí'!$D$8,$W117),$V118))</f>
        <v/>
      </c>
      <c r="X118" s="47" t="str">
        <f aca="false">IF($V118="","",$V118-$W118)</f>
        <v/>
      </c>
      <c r="Y118" s="3"/>
      <c r="Z118" s="3"/>
      <c r="AA118" s="3"/>
      <c r="AB118" s="3"/>
      <c r="AC118" s="3"/>
      <c r="AD118" s="3"/>
      <c r="AE118" s="3"/>
      <c r="AF118" s="3"/>
      <c r="AG118" s="3"/>
      <c r="AH118" s="3"/>
    </row>
    <row r="119" customFormat="false" ht="15" hidden="false" customHeight="true" outlineLevel="0" collapsed="false">
      <c r="A119" s="2"/>
      <c r="B119" s="36"/>
      <c r="C119" s="37"/>
      <c r="D119" s="37"/>
      <c r="E119" s="38"/>
      <c r="F119" s="39"/>
      <c r="G119" s="40" t="str">
        <f aca="false">IF(OR($E119="",$C119="",$D119=""),"",$E119*$D119*IFERROR(INDEX(Listas!$C$6:$C$20,MATCH($C119,Listas!$B$6:$B$20,0)),0)-$D119*IFERROR(INDEX(Listas!$D$6:$D$20,MATCH($C119,Listas!$B$6:$B$20,0)),0))</f>
        <v/>
      </c>
      <c r="H119" s="41" t="str">
        <f aca="false">IF(OR($F119="",$C119="",$D119=""),"",ABS($F119)*$D119*IFERROR(INDEX(Listas!$C$6:$C$20,MATCH($C119,Listas!$B$6:$B$20,0)),0))</f>
        <v/>
      </c>
      <c r="I119" s="42" t="str">
        <f aca="false">IF(OR($E119="",$F119="",$F119=0),"",$E119/ABS($F119))</f>
        <v/>
      </c>
      <c r="J119" s="43" t="str">
        <f aca="false">IF($B119="","",INDEX(Listas!$G$6:$G$12,WEEKDAY($B119,1)))</f>
        <v/>
      </c>
      <c r="K119" s="43" t="str">
        <f aca="false">IFERROR(IF($L119="","",TEXT(IF($L119&lt;1,HOUR($L119),INT($L119)),"00")&amp;":00"),"")</f>
        <v/>
      </c>
      <c r="L119" s="44"/>
      <c r="M119" s="45"/>
      <c r="N119" s="46"/>
      <c r="O119" s="45"/>
      <c r="P119" s="2"/>
      <c r="Q119" s="2"/>
      <c r="R119" s="2"/>
      <c r="S119" s="2"/>
      <c r="T119" s="2"/>
      <c r="U119" s="47" t="str">
        <f aca="false">IF($G119="","",IF($G119&lt;0,IF(N($U118)=0,1,$U118+1),0))</f>
        <v/>
      </c>
      <c r="V119" s="47" t="str">
        <f aca="false">IF($G119="","",IF($V118="",'Empieza aquí'!$D$8,$V118)+$G119)</f>
        <v/>
      </c>
      <c r="W119" s="47" t="str">
        <f aca="false">IF($V119="","",MAX(IF($W118="",'Empieza aquí'!$D$8,$W118),$V119))</f>
        <v/>
      </c>
      <c r="X119" s="47" t="str">
        <f aca="false">IF($V119="","",$V119-$W119)</f>
        <v/>
      </c>
      <c r="Y119" s="3"/>
      <c r="Z119" s="3"/>
      <c r="AA119" s="3"/>
      <c r="AB119" s="3"/>
      <c r="AC119" s="3"/>
      <c r="AD119" s="3"/>
      <c r="AE119" s="3"/>
      <c r="AF119" s="3"/>
      <c r="AG119" s="3"/>
      <c r="AH119" s="3"/>
    </row>
    <row r="120" customFormat="false" ht="15" hidden="false" customHeight="true" outlineLevel="0" collapsed="false">
      <c r="A120" s="2"/>
      <c r="B120" s="36"/>
      <c r="C120" s="37"/>
      <c r="D120" s="37"/>
      <c r="E120" s="38"/>
      <c r="F120" s="39"/>
      <c r="G120" s="40" t="str">
        <f aca="false">IF(OR($E120="",$C120="",$D120=""),"",$E120*$D120*IFERROR(INDEX(Listas!$C$6:$C$20,MATCH($C120,Listas!$B$6:$B$20,0)),0)-$D120*IFERROR(INDEX(Listas!$D$6:$D$20,MATCH($C120,Listas!$B$6:$B$20,0)),0))</f>
        <v/>
      </c>
      <c r="H120" s="41" t="str">
        <f aca="false">IF(OR($F120="",$C120="",$D120=""),"",ABS($F120)*$D120*IFERROR(INDEX(Listas!$C$6:$C$20,MATCH($C120,Listas!$B$6:$B$20,0)),0))</f>
        <v/>
      </c>
      <c r="I120" s="42" t="str">
        <f aca="false">IF(OR($E120="",$F120="",$F120=0),"",$E120/ABS($F120))</f>
        <v/>
      </c>
      <c r="J120" s="43" t="str">
        <f aca="false">IF($B120="","",INDEX(Listas!$G$6:$G$12,WEEKDAY($B120,1)))</f>
        <v/>
      </c>
      <c r="K120" s="43" t="str">
        <f aca="false">IFERROR(IF($L120="","",TEXT(IF($L120&lt;1,HOUR($L120),INT($L120)),"00")&amp;":00"),"")</f>
        <v/>
      </c>
      <c r="L120" s="44"/>
      <c r="M120" s="45"/>
      <c r="N120" s="46"/>
      <c r="O120" s="45"/>
      <c r="P120" s="2"/>
      <c r="Q120" s="2"/>
      <c r="R120" s="2"/>
      <c r="S120" s="2"/>
      <c r="T120" s="2"/>
      <c r="U120" s="47" t="str">
        <f aca="false">IF($G120="","",IF($G120&lt;0,IF(N($U119)=0,1,$U119+1),0))</f>
        <v/>
      </c>
      <c r="V120" s="47" t="str">
        <f aca="false">IF($G120="","",IF($V119="",'Empieza aquí'!$D$8,$V119)+$G120)</f>
        <v/>
      </c>
      <c r="W120" s="47" t="str">
        <f aca="false">IF($V120="","",MAX(IF($W119="",'Empieza aquí'!$D$8,$W119),$V120))</f>
        <v/>
      </c>
      <c r="X120" s="47" t="str">
        <f aca="false">IF($V120="","",$V120-$W120)</f>
        <v/>
      </c>
      <c r="Y120" s="3"/>
      <c r="Z120" s="3"/>
      <c r="AA120" s="3"/>
      <c r="AB120" s="3"/>
      <c r="AC120" s="3"/>
      <c r="AD120" s="3"/>
      <c r="AE120" s="3"/>
      <c r="AF120" s="3"/>
      <c r="AG120" s="3"/>
      <c r="AH120" s="3"/>
    </row>
    <row r="121" customFormat="false" ht="15" hidden="false" customHeight="true" outlineLevel="0" collapsed="false">
      <c r="A121" s="2"/>
      <c r="B121" s="36"/>
      <c r="C121" s="37"/>
      <c r="D121" s="37"/>
      <c r="E121" s="38"/>
      <c r="F121" s="39"/>
      <c r="G121" s="40" t="str">
        <f aca="false">IF(OR($E121="",$C121="",$D121=""),"",$E121*$D121*IFERROR(INDEX(Listas!$C$6:$C$20,MATCH($C121,Listas!$B$6:$B$20,0)),0)-$D121*IFERROR(INDEX(Listas!$D$6:$D$20,MATCH($C121,Listas!$B$6:$B$20,0)),0))</f>
        <v/>
      </c>
      <c r="H121" s="41" t="str">
        <f aca="false">IF(OR($F121="",$C121="",$D121=""),"",ABS($F121)*$D121*IFERROR(INDEX(Listas!$C$6:$C$20,MATCH($C121,Listas!$B$6:$B$20,0)),0))</f>
        <v/>
      </c>
      <c r="I121" s="42" t="str">
        <f aca="false">IF(OR($E121="",$F121="",$F121=0),"",$E121/ABS($F121))</f>
        <v/>
      </c>
      <c r="J121" s="43" t="str">
        <f aca="false">IF($B121="","",INDEX(Listas!$G$6:$G$12,WEEKDAY($B121,1)))</f>
        <v/>
      </c>
      <c r="K121" s="43" t="str">
        <f aca="false">IFERROR(IF($L121="","",TEXT(IF($L121&lt;1,HOUR($L121),INT($L121)),"00")&amp;":00"),"")</f>
        <v/>
      </c>
      <c r="L121" s="44"/>
      <c r="M121" s="45"/>
      <c r="N121" s="46"/>
      <c r="O121" s="45"/>
      <c r="P121" s="2"/>
      <c r="Q121" s="2"/>
      <c r="R121" s="2"/>
      <c r="S121" s="2"/>
      <c r="T121" s="2"/>
      <c r="U121" s="47" t="str">
        <f aca="false">IF($G121="","",IF($G121&lt;0,IF(N($U120)=0,1,$U120+1),0))</f>
        <v/>
      </c>
      <c r="V121" s="47" t="str">
        <f aca="false">IF($G121="","",IF($V120="",'Empieza aquí'!$D$8,$V120)+$G121)</f>
        <v/>
      </c>
      <c r="W121" s="47" t="str">
        <f aca="false">IF($V121="","",MAX(IF($W120="",'Empieza aquí'!$D$8,$W120),$V121))</f>
        <v/>
      </c>
      <c r="X121" s="47" t="str">
        <f aca="false">IF($V121="","",$V121-$W121)</f>
        <v/>
      </c>
      <c r="Y121" s="3"/>
      <c r="Z121" s="3"/>
      <c r="AA121" s="3"/>
      <c r="AB121" s="3"/>
      <c r="AC121" s="3"/>
      <c r="AD121" s="3"/>
      <c r="AE121" s="3"/>
      <c r="AF121" s="3"/>
      <c r="AG121" s="3"/>
      <c r="AH121" s="3"/>
    </row>
    <row r="122" customFormat="false" ht="15" hidden="false" customHeight="true" outlineLevel="0" collapsed="false">
      <c r="A122" s="2"/>
      <c r="B122" s="36"/>
      <c r="C122" s="37"/>
      <c r="D122" s="37"/>
      <c r="E122" s="38"/>
      <c r="F122" s="39"/>
      <c r="G122" s="40" t="str">
        <f aca="false">IF(OR($E122="",$C122="",$D122=""),"",$E122*$D122*IFERROR(INDEX(Listas!$C$6:$C$20,MATCH($C122,Listas!$B$6:$B$20,0)),0)-$D122*IFERROR(INDEX(Listas!$D$6:$D$20,MATCH($C122,Listas!$B$6:$B$20,0)),0))</f>
        <v/>
      </c>
      <c r="H122" s="41" t="str">
        <f aca="false">IF(OR($F122="",$C122="",$D122=""),"",ABS($F122)*$D122*IFERROR(INDEX(Listas!$C$6:$C$20,MATCH($C122,Listas!$B$6:$B$20,0)),0))</f>
        <v/>
      </c>
      <c r="I122" s="42" t="str">
        <f aca="false">IF(OR($E122="",$F122="",$F122=0),"",$E122/ABS($F122))</f>
        <v/>
      </c>
      <c r="J122" s="43" t="str">
        <f aca="false">IF($B122="","",INDEX(Listas!$G$6:$G$12,WEEKDAY($B122,1)))</f>
        <v/>
      </c>
      <c r="K122" s="43" t="str">
        <f aca="false">IFERROR(IF($L122="","",TEXT(IF($L122&lt;1,HOUR($L122),INT($L122)),"00")&amp;":00"),"")</f>
        <v/>
      </c>
      <c r="L122" s="44"/>
      <c r="M122" s="45"/>
      <c r="N122" s="46"/>
      <c r="O122" s="45"/>
      <c r="P122" s="2"/>
      <c r="Q122" s="2"/>
      <c r="R122" s="2"/>
      <c r="S122" s="2"/>
      <c r="T122" s="2"/>
      <c r="U122" s="47" t="str">
        <f aca="false">IF($G122="","",IF($G122&lt;0,IF(N($U121)=0,1,$U121+1),0))</f>
        <v/>
      </c>
      <c r="V122" s="47" t="str">
        <f aca="false">IF($G122="","",IF($V121="",'Empieza aquí'!$D$8,$V121)+$G122)</f>
        <v/>
      </c>
      <c r="W122" s="47" t="str">
        <f aca="false">IF($V122="","",MAX(IF($W121="",'Empieza aquí'!$D$8,$W121),$V122))</f>
        <v/>
      </c>
      <c r="X122" s="47" t="str">
        <f aca="false">IF($V122="","",$V122-$W122)</f>
        <v/>
      </c>
      <c r="Y122" s="3"/>
      <c r="Z122" s="3"/>
      <c r="AA122" s="3"/>
      <c r="AB122" s="3"/>
      <c r="AC122" s="3"/>
      <c r="AD122" s="3"/>
      <c r="AE122" s="3"/>
      <c r="AF122" s="3"/>
      <c r="AG122" s="3"/>
      <c r="AH122" s="3"/>
    </row>
    <row r="123" customFormat="false" ht="15" hidden="false" customHeight="true" outlineLevel="0" collapsed="false">
      <c r="A123" s="2"/>
      <c r="B123" s="36"/>
      <c r="C123" s="37"/>
      <c r="D123" s="37"/>
      <c r="E123" s="38"/>
      <c r="F123" s="39"/>
      <c r="G123" s="40" t="str">
        <f aca="false">IF(OR($E123="",$C123="",$D123=""),"",$E123*$D123*IFERROR(INDEX(Listas!$C$6:$C$20,MATCH($C123,Listas!$B$6:$B$20,0)),0)-$D123*IFERROR(INDEX(Listas!$D$6:$D$20,MATCH($C123,Listas!$B$6:$B$20,0)),0))</f>
        <v/>
      </c>
      <c r="H123" s="41" t="str">
        <f aca="false">IF(OR($F123="",$C123="",$D123=""),"",ABS($F123)*$D123*IFERROR(INDEX(Listas!$C$6:$C$20,MATCH($C123,Listas!$B$6:$B$20,0)),0))</f>
        <v/>
      </c>
      <c r="I123" s="42" t="str">
        <f aca="false">IF(OR($E123="",$F123="",$F123=0),"",$E123/ABS($F123))</f>
        <v/>
      </c>
      <c r="J123" s="43" t="str">
        <f aca="false">IF($B123="","",INDEX(Listas!$G$6:$G$12,WEEKDAY($B123,1)))</f>
        <v/>
      </c>
      <c r="K123" s="43" t="str">
        <f aca="false">IFERROR(IF($L123="","",TEXT(IF($L123&lt;1,HOUR($L123),INT($L123)),"00")&amp;":00"),"")</f>
        <v/>
      </c>
      <c r="L123" s="44"/>
      <c r="M123" s="45"/>
      <c r="N123" s="46"/>
      <c r="O123" s="45"/>
      <c r="P123" s="2"/>
      <c r="Q123" s="2"/>
      <c r="R123" s="2"/>
      <c r="S123" s="2"/>
      <c r="T123" s="2"/>
      <c r="U123" s="47" t="str">
        <f aca="false">IF($G123="","",IF($G123&lt;0,IF(N($U122)=0,1,$U122+1),0))</f>
        <v/>
      </c>
      <c r="V123" s="47" t="str">
        <f aca="false">IF($G123="","",IF($V122="",'Empieza aquí'!$D$8,$V122)+$G123)</f>
        <v/>
      </c>
      <c r="W123" s="47" t="str">
        <f aca="false">IF($V123="","",MAX(IF($W122="",'Empieza aquí'!$D$8,$W122),$V123))</f>
        <v/>
      </c>
      <c r="X123" s="47" t="str">
        <f aca="false">IF($V123="","",$V123-$W123)</f>
        <v/>
      </c>
      <c r="Y123" s="3"/>
      <c r="Z123" s="3"/>
      <c r="AA123" s="3"/>
      <c r="AB123" s="3"/>
      <c r="AC123" s="3"/>
      <c r="AD123" s="3"/>
      <c r="AE123" s="3"/>
      <c r="AF123" s="3"/>
      <c r="AG123" s="3"/>
      <c r="AH123" s="3"/>
    </row>
    <row r="124" customFormat="false" ht="15" hidden="false" customHeight="true" outlineLevel="0" collapsed="false">
      <c r="A124" s="2"/>
      <c r="B124" s="36"/>
      <c r="C124" s="37"/>
      <c r="D124" s="37"/>
      <c r="E124" s="38"/>
      <c r="F124" s="39"/>
      <c r="G124" s="40" t="str">
        <f aca="false">IF(OR($E124="",$C124="",$D124=""),"",$E124*$D124*IFERROR(INDEX(Listas!$C$6:$C$20,MATCH($C124,Listas!$B$6:$B$20,0)),0)-$D124*IFERROR(INDEX(Listas!$D$6:$D$20,MATCH($C124,Listas!$B$6:$B$20,0)),0))</f>
        <v/>
      </c>
      <c r="H124" s="41" t="str">
        <f aca="false">IF(OR($F124="",$C124="",$D124=""),"",ABS($F124)*$D124*IFERROR(INDEX(Listas!$C$6:$C$20,MATCH($C124,Listas!$B$6:$B$20,0)),0))</f>
        <v/>
      </c>
      <c r="I124" s="42" t="str">
        <f aca="false">IF(OR($E124="",$F124="",$F124=0),"",$E124/ABS($F124))</f>
        <v/>
      </c>
      <c r="J124" s="43" t="str">
        <f aca="false">IF($B124="","",INDEX(Listas!$G$6:$G$12,WEEKDAY($B124,1)))</f>
        <v/>
      </c>
      <c r="K124" s="43" t="str">
        <f aca="false">IFERROR(IF($L124="","",TEXT(IF($L124&lt;1,HOUR($L124),INT($L124)),"00")&amp;":00"),"")</f>
        <v/>
      </c>
      <c r="L124" s="44"/>
      <c r="M124" s="45"/>
      <c r="N124" s="46"/>
      <c r="O124" s="45"/>
      <c r="P124" s="2"/>
      <c r="Q124" s="2"/>
      <c r="R124" s="2"/>
      <c r="S124" s="2"/>
      <c r="T124" s="2"/>
      <c r="U124" s="47" t="str">
        <f aca="false">IF($G124="","",IF($G124&lt;0,IF(N($U123)=0,1,$U123+1),0))</f>
        <v/>
      </c>
      <c r="V124" s="47" t="str">
        <f aca="false">IF($G124="","",IF($V123="",'Empieza aquí'!$D$8,$V123)+$G124)</f>
        <v/>
      </c>
      <c r="W124" s="47" t="str">
        <f aca="false">IF($V124="","",MAX(IF($W123="",'Empieza aquí'!$D$8,$W123),$V124))</f>
        <v/>
      </c>
      <c r="X124" s="47" t="str">
        <f aca="false">IF($V124="","",$V124-$W124)</f>
        <v/>
      </c>
      <c r="Y124" s="3"/>
      <c r="Z124" s="3"/>
      <c r="AA124" s="3"/>
      <c r="AB124" s="3"/>
      <c r="AC124" s="3"/>
      <c r="AD124" s="3"/>
      <c r="AE124" s="3"/>
      <c r="AF124" s="3"/>
      <c r="AG124" s="3"/>
      <c r="AH124" s="3"/>
    </row>
    <row r="125" customFormat="false" ht="15" hidden="false" customHeight="true" outlineLevel="0" collapsed="false">
      <c r="A125" s="2"/>
      <c r="B125" s="36"/>
      <c r="C125" s="37"/>
      <c r="D125" s="37"/>
      <c r="E125" s="38"/>
      <c r="F125" s="39"/>
      <c r="G125" s="40" t="str">
        <f aca="false">IF(OR($E125="",$C125="",$D125=""),"",$E125*$D125*IFERROR(INDEX(Listas!$C$6:$C$20,MATCH($C125,Listas!$B$6:$B$20,0)),0)-$D125*IFERROR(INDEX(Listas!$D$6:$D$20,MATCH($C125,Listas!$B$6:$B$20,0)),0))</f>
        <v/>
      </c>
      <c r="H125" s="41" t="str">
        <f aca="false">IF(OR($F125="",$C125="",$D125=""),"",ABS($F125)*$D125*IFERROR(INDEX(Listas!$C$6:$C$20,MATCH($C125,Listas!$B$6:$B$20,0)),0))</f>
        <v/>
      </c>
      <c r="I125" s="42" t="str">
        <f aca="false">IF(OR($E125="",$F125="",$F125=0),"",$E125/ABS($F125))</f>
        <v/>
      </c>
      <c r="J125" s="43" t="str">
        <f aca="false">IF($B125="","",INDEX(Listas!$G$6:$G$12,WEEKDAY($B125,1)))</f>
        <v/>
      </c>
      <c r="K125" s="43" t="str">
        <f aca="false">IFERROR(IF($L125="","",TEXT(IF($L125&lt;1,HOUR($L125),INT($L125)),"00")&amp;":00"),"")</f>
        <v/>
      </c>
      <c r="L125" s="44"/>
      <c r="M125" s="45"/>
      <c r="N125" s="46"/>
      <c r="O125" s="45"/>
      <c r="P125" s="2"/>
      <c r="Q125" s="2"/>
      <c r="R125" s="2"/>
      <c r="S125" s="2"/>
      <c r="T125" s="2"/>
      <c r="U125" s="47" t="str">
        <f aca="false">IF($G125="","",IF($G125&lt;0,IF(N($U124)=0,1,$U124+1),0))</f>
        <v/>
      </c>
      <c r="V125" s="47" t="str">
        <f aca="false">IF($G125="","",IF($V124="",'Empieza aquí'!$D$8,$V124)+$G125)</f>
        <v/>
      </c>
      <c r="W125" s="47" t="str">
        <f aca="false">IF($V125="","",MAX(IF($W124="",'Empieza aquí'!$D$8,$W124),$V125))</f>
        <v/>
      </c>
      <c r="X125" s="47" t="str">
        <f aca="false">IF($V125="","",$V125-$W125)</f>
        <v/>
      </c>
      <c r="Y125" s="3"/>
      <c r="Z125" s="3"/>
      <c r="AA125" s="3"/>
      <c r="AB125" s="3"/>
      <c r="AC125" s="3"/>
      <c r="AD125" s="3"/>
      <c r="AE125" s="3"/>
      <c r="AF125" s="3"/>
      <c r="AG125" s="3"/>
      <c r="AH125" s="3"/>
    </row>
    <row r="126" customFormat="false" ht="15" hidden="false" customHeight="true" outlineLevel="0" collapsed="false">
      <c r="A126" s="2"/>
      <c r="B126" s="36"/>
      <c r="C126" s="37"/>
      <c r="D126" s="37"/>
      <c r="E126" s="38"/>
      <c r="F126" s="39"/>
      <c r="G126" s="40" t="str">
        <f aca="false">IF(OR($E126="",$C126="",$D126=""),"",$E126*$D126*IFERROR(INDEX(Listas!$C$6:$C$20,MATCH($C126,Listas!$B$6:$B$20,0)),0)-$D126*IFERROR(INDEX(Listas!$D$6:$D$20,MATCH($C126,Listas!$B$6:$B$20,0)),0))</f>
        <v/>
      </c>
      <c r="H126" s="41" t="str">
        <f aca="false">IF(OR($F126="",$C126="",$D126=""),"",ABS($F126)*$D126*IFERROR(INDEX(Listas!$C$6:$C$20,MATCH($C126,Listas!$B$6:$B$20,0)),0))</f>
        <v/>
      </c>
      <c r="I126" s="42" t="str">
        <f aca="false">IF(OR($E126="",$F126="",$F126=0),"",$E126/ABS($F126))</f>
        <v/>
      </c>
      <c r="J126" s="43" t="str">
        <f aca="false">IF($B126="","",INDEX(Listas!$G$6:$G$12,WEEKDAY($B126,1)))</f>
        <v/>
      </c>
      <c r="K126" s="43" t="str">
        <f aca="false">IFERROR(IF($L126="","",TEXT(IF($L126&lt;1,HOUR($L126),INT($L126)),"00")&amp;":00"),"")</f>
        <v/>
      </c>
      <c r="L126" s="44"/>
      <c r="M126" s="45"/>
      <c r="N126" s="46"/>
      <c r="O126" s="45"/>
      <c r="P126" s="2"/>
      <c r="Q126" s="2"/>
      <c r="R126" s="2"/>
      <c r="S126" s="2"/>
      <c r="T126" s="2"/>
      <c r="U126" s="47" t="str">
        <f aca="false">IF($G126="","",IF($G126&lt;0,IF(N($U125)=0,1,$U125+1),0))</f>
        <v/>
      </c>
      <c r="V126" s="47" t="str">
        <f aca="false">IF($G126="","",IF($V125="",'Empieza aquí'!$D$8,$V125)+$G126)</f>
        <v/>
      </c>
      <c r="W126" s="47" t="str">
        <f aca="false">IF($V126="","",MAX(IF($W125="",'Empieza aquí'!$D$8,$W125),$V126))</f>
        <v/>
      </c>
      <c r="X126" s="47" t="str">
        <f aca="false">IF($V126="","",$V126-$W126)</f>
        <v/>
      </c>
      <c r="Y126" s="3"/>
      <c r="Z126" s="3"/>
      <c r="AA126" s="3"/>
      <c r="AB126" s="3"/>
      <c r="AC126" s="3"/>
      <c r="AD126" s="3"/>
      <c r="AE126" s="3"/>
      <c r="AF126" s="3"/>
      <c r="AG126" s="3"/>
      <c r="AH126" s="3"/>
    </row>
    <row r="127" customFormat="false" ht="15" hidden="false" customHeight="true" outlineLevel="0" collapsed="false">
      <c r="A127" s="2"/>
      <c r="B127" s="36"/>
      <c r="C127" s="37"/>
      <c r="D127" s="37"/>
      <c r="E127" s="38"/>
      <c r="F127" s="39"/>
      <c r="G127" s="40" t="str">
        <f aca="false">IF(OR($E127="",$C127="",$D127=""),"",$E127*$D127*IFERROR(INDEX(Listas!$C$6:$C$20,MATCH($C127,Listas!$B$6:$B$20,0)),0)-$D127*IFERROR(INDEX(Listas!$D$6:$D$20,MATCH($C127,Listas!$B$6:$B$20,0)),0))</f>
        <v/>
      </c>
      <c r="H127" s="41" t="str">
        <f aca="false">IF(OR($F127="",$C127="",$D127=""),"",ABS($F127)*$D127*IFERROR(INDEX(Listas!$C$6:$C$20,MATCH($C127,Listas!$B$6:$B$20,0)),0))</f>
        <v/>
      </c>
      <c r="I127" s="42" t="str">
        <f aca="false">IF(OR($E127="",$F127="",$F127=0),"",$E127/ABS($F127))</f>
        <v/>
      </c>
      <c r="J127" s="43" t="str">
        <f aca="false">IF($B127="","",INDEX(Listas!$G$6:$G$12,WEEKDAY($B127,1)))</f>
        <v/>
      </c>
      <c r="K127" s="43" t="str">
        <f aca="false">IFERROR(IF($L127="","",TEXT(IF($L127&lt;1,HOUR($L127),INT($L127)),"00")&amp;":00"),"")</f>
        <v/>
      </c>
      <c r="L127" s="44"/>
      <c r="M127" s="45"/>
      <c r="N127" s="46"/>
      <c r="O127" s="45"/>
      <c r="P127" s="2"/>
      <c r="Q127" s="2"/>
      <c r="R127" s="2"/>
      <c r="S127" s="2"/>
      <c r="T127" s="2"/>
      <c r="U127" s="47" t="str">
        <f aca="false">IF($G127="","",IF($G127&lt;0,IF(N($U126)=0,1,$U126+1),0))</f>
        <v/>
      </c>
      <c r="V127" s="47" t="str">
        <f aca="false">IF($G127="","",IF($V126="",'Empieza aquí'!$D$8,$V126)+$G127)</f>
        <v/>
      </c>
      <c r="W127" s="47" t="str">
        <f aca="false">IF($V127="","",MAX(IF($W126="",'Empieza aquí'!$D$8,$W126),$V127))</f>
        <v/>
      </c>
      <c r="X127" s="47" t="str">
        <f aca="false">IF($V127="","",$V127-$W127)</f>
        <v/>
      </c>
      <c r="Y127" s="3"/>
      <c r="Z127" s="3"/>
      <c r="AA127" s="3"/>
      <c r="AB127" s="3"/>
      <c r="AC127" s="3"/>
      <c r="AD127" s="3"/>
      <c r="AE127" s="3"/>
      <c r="AF127" s="3"/>
      <c r="AG127" s="3"/>
      <c r="AH127" s="3"/>
    </row>
    <row r="128" customFormat="false" ht="15" hidden="false" customHeight="true" outlineLevel="0" collapsed="false">
      <c r="A128" s="2"/>
      <c r="B128" s="36"/>
      <c r="C128" s="37"/>
      <c r="D128" s="37"/>
      <c r="E128" s="38"/>
      <c r="F128" s="39"/>
      <c r="G128" s="40" t="str">
        <f aca="false">IF(OR($E128="",$C128="",$D128=""),"",$E128*$D128*IFERROR(INDEX(Listas!$C$6:$C$20,MATCH($C128,Listas!$B$6:$B$20,0)),0)-$D128*IFERROR(INDEX(Listas!$D$6:$D$20,MATCH($C128,Listas!$B$6:$B$20,0)),0))</f>
        <v/>
      </c>
      <c r="H128" s="41" t="str">
        <f aca="false">IF(OR($F128="",$C128="",$D128=""),"",ABS($F128)*$D128*IFERROR(INDEX(Listas!$C$6:$C$20,MATCH($C128,Listas!$B$6:$B$20,0)),0))</f>
        <v/>
      </c>
      <c r="I128" s="42" t="str">
        <f aca="false">IF(OR($E128="",$F128="",$F128=0),"",$E128/ABS($F128))</f>
        <v/>
      </c>
      <c r="J128" s="43" t="str">
        <f aca="false">IF($B128="","",INDEX(Listas!$G$6:$G$12,WEEKDAY($B128,1)))</f>
        <v/>
      </c>
      <c r="K128" s="43" t="str">
        <f aca="false">IFERROR(IF($L128="","",TEXT(IF($L128&lt;1,HOUR($L128),INT($L128)),"00")&amp;":00"),"")</f>
        <v/>
      </c>
      <c r="L128" s="44"/>
      <c r="M128" s="45"/>
      <c r="N128" s="46"/>
      <c r="O128" s="45"/>
      <c r="P128" s="2"/>
      <c r="Q128" s="2"/>
      <c r="R128" s="2"/>
      <c r="S128" s="2"/>
      <c r="T128" s="2"/>
      <c r="U128" s="47" t="str">
        <f aca="false">IF($G128="","",IF($G128&lt;0,IF(N($U127)=0,1,$U127+1),0))</f>
        <v/>
      </c>
      <c r="V128" s="47" t="str">
        <f aca="false">IF($G128="","",IF($V127="",'Empieza aquí'!$D$8,$V127)+$G128)</f>
        <v/>
      </c>
      <c r="W128" s="47" t="str">
        <f aca="false">IF($V128="","",MAX(IF($W127="",'Empieza aquí'!$D$8,$W127),$V128))</f>
        <v/>
      </c>
      <c r="X128" s="47" t="str">
        <f aca="false">IF($V128="","",$V128-$W128)</f>
        <v/>
      </c>
      <c r="Y128" s="3"/>
      <c r="Z128" s="3"/>
      <c r="AA128" s="3"/>
      <c r="AB128" s="3"/>
      <c r="AC128" s="3"/>
      <c r="AD128" s="3"/>
      <c r="AE128" s="3"/>
      <c r="AF128" s="3"/>
      <c r="AG128" s="3"/>
      <c r="AH128" s="3"/>
    </row>
    <row r="129" customFormat="false" ht="15" hidden="false" customHeight="true" outlineLevel="0" collapsed="false">
      <c r="A129" s="2"/>
      <c r="B129" s="36"/>
      <c r="C129" s="37"/>
      <c r="D129" s="37"/>
      <c r="E129" s="38"/>
      <c r="F129" s="39"/>
      <c r="G129" s="40" t="str">
        <f aca="false">IF(OR($E129="",$C129="",$D129=""),"",$E129*$D129*IFERROR(INDEX(Listas!$C$6:$C$20,MATCH($C129,Listas!$B$6:$B$20,0)),0)-$D129*IFERROR(INDEX(Listas!$D$6:$D$20,MATCH($C129,Listas!$B$6:$B$20,0)),0))</f>
        <v/>
      </c>
      <c r="H129" s="41" t="str">
        <f aca="false">IF(OR($F129="",$C129="",$D129=""),"",ABS($F129)*$D129*IFERROR(INDEX(Listas!$C$6:$C$20,MATCH($C129,Listas!$B$6:$B$20,0)),0))</f>
        <v/>
      </c>
      <c r="I129" s="42" t="str">
        <f aca="false">IF(OR($E129="",$F129="",$F129=0),"",$E129/ABS($F129))</f>
        <v/>
      </c>
      <c r="J129" s="43" t="str">
        <f aca="false">IF($B129="","",INDEX(Listas!$G$6:$G$12,WEEKDAY($B129,1)))</f>
        <v/>
      </c>
      <c r="K129" s="43" t="str">
        <f aca="false">IFERROR(IF($L129="","",TEXT(IF($L129&lt;1,HOUR($L129),INT($L129)),"00")&amp;":00"),"")</f>
        <v/>
      </c>
      <c r="L129" s="44"/>
      <c r="M129" s="45"/>
      <c r="N129" s="46"/>
      <c r="O129" s="45"/>
      <c r="P129" s="2"/>
      <c r="Q129" s="2"/>
      <c r="R129" s="2"/>
      <c r="S129" s="2"/>
      <c r="T129" s="2"/>
      <c r="U129" s="47" t="str">
        <f aca="false">IF($G129="","",IF($G129&lt;0,IF(N($U128)=0,1,$U128+1),0))</f>
        <v/>
      </c>
      <c r="V129" s="47" t="str">
        <f aca="false">IF($G129="","",IF($V128="",'Empieza aquí'!$D$8,$V128)+$G129)</f>
        <v/>
      </c>
      <c r="W129" s="47" t="str">
        <f aca="false">IF($V129="","",MAX(IF($W128="",'Empieza aquí'!$D$8,$W128),$V129))</f>
        <v/>
      </c>
      <c r="X129" s="47" t="str">
        <f aca="false">IF($V129="","",$V129-$W129)</f>
        <v/>
      </c>
      <c r="Y129" s="3"/>
      <c r="Z129" s="3"/>
      <c r="AA129" s="3"/>
      <c r="AB129" s="3"/>
      <c r="AC129" s="3"/>
      <c r="AD129" s="3"/>
      <c r="AE129" s="3"/>
      <c r="AF129" s="3"/>
      <c r="AG129" s="3"/>
      <c r="AH129" s="3"/>
    </row>
    <row r="130" customFormat="false" ht="15" hidden="false" customHeight="true" outlineLevel="0" collapsed="false">
      <c r="A130" s="2"/>
      <c r="B130" s="36"/>
      <c r="C130" s="37"/>
      <c r="D130" s="37"/>
      <c r="E130" s="38"/>
      <c r="F130" s="39"/>
      <c r="G130" s="40" t="str">
        <f aca="false">IF(OR($E130="",$C130="",$D130=""),"",$E130*$D130*IFERROR(INDEX(Listas!$C$6:$C$20,MATCH($C130,Listas!$B$6:$B$20,0)),0)-$D130*IFERROR(INDEX(Listas!$D$6:$D$20,MATCH($C130,Listas!$B$6:$B$20,0)),0))</f>
        <v/>
      </c>
      <c r="H130" s="41" t="str">
        <f aca="false">IF(OR($F130="",$C130="",$D130=""),"",ABS($F130)*$D130*IFERROR(INDEX(Listas!$C$6:$C$20,MATCH($C130,Listas!$B$6:$B$20,0)),0))</f>
        <v/>
      </c>
      <c r="I130" s="42" t="str">
        <f aca="false">IF(OR($E130="",$F130="",$F130=0),"",$E130/ABS($F130))</f>
        <v/>
      </c>
      <c r="J130" s="43" t="str">
        <f aca="false">IF($B130="","",INDEX(Listas!$G$6:$G$12,WEEKDAY($B130,1)))</f>
        <v/>
      </c>
      <c r="K130" s="43" t="str">
        <f aca="false">IFERROR(IF($L130="","",TEXT(IF($L130&lt;1,HOUR($L130),INT($L130)),"00")&amp;":00"),"")</f>
        <v/>
      </c>
      <c r="L130" s="44"/>
      <c r="M130" s="45"/>
      <c r="N130" s="46"/>
      <c r="O130" s="45"/>
      <c r="P130" s="2"/>
      <c r="Q130" s="2"/>
      <c r="R130" s="2"/>
      <c r="S130" s="2"/>
      <c r="T130" s="2"/>
      <c r="U130" s="47" t="str">
        <f aca="false">IF($G130="","",IF($G130&lt;0,IF(N($U129)=0,1,$U129+1),0))</f>
        <v/>
      </c>
      <c r="V130" s="47" t="str">
        <f aca="false">IF($G130="","",IF($V129="",'Empieza aquí'!$D$8,$V129)+$G130)</f>
        <v/>
      </c>
      <c r="W130" s="47" t="str">
        <f aca="false">IF($V130="","",MAX(IF($W129="",'Empieza aquí'!$D$8,$W129),$V130))</f>
        <v/>
      </c>
      <c r="X130" s="47" t="str">
        <f aca="false">IF($V130="","",$V130-$W130)</f>
        <v/>
      </c>
      <c r="Y130" s="3"/>
      <c r="Z130" s="3"/>
      <c r="AA130" s="3"/>
      <c r="AB130" s="3"/>
      <c r="AC130" s="3"/>
      <c r="AD130" s="3"/>
      <c r="AE130" s="3"/>
      <c r="AF130" s="3"/>
      <c r="AG130" s="3"/>
      <c r="AH130" s="3"/>
    </row>
    <row r="131" customFormat="false" ht="15" hidden="false" customHeight="true" outlineLevel="0" collapsed="false">
      <c r="A131" s="2"/>
      <c r="B131" s="36"/>
      <c r="C131" s="37"/>
      <c r="D131" s="37"/>
      <c r="E131" s="38"/>
      <c r="F131" s="39"/>
      <c r="G131" s="40" t="str">
        <f aca="false">IF(OR($E131="",$C131="",$D131=""),"",$E131*$D131*IFERROR(INDEX(Listas!$C$6:$C$20,MATCH($C131,Listas!$B$6:$B$20,0)),0)-$D131*IFERROR(INDEX(Listas!$D$6:$D$20,MATCH($C131,Listas!$B$6:$B$20,0)),0))</f>
        <v/>
      </c>
      <c r="H131" s="41" t="str">
        <f aca="false">IF(OR($F131="",$C131="",$D131=""),"",ABS($F131)*$D131*IFERROR(INDEX(Listas!$C$6:$C$20,MATCH($C131,Listas!$B$6:$B$20,0)),0))</f>
        <v/>
      </c>
      <c r="I131" s="42" t="str">
        <f aca="false">IF(OR($E131="",$F131="",$F131=0),"",$E131/ABS($F131))</f>
        <v/>
      </c>
      <c r="J131" s="43" t="str">
        <f aca="false">IF($B131="","",INDEX(Listas!$G$6:$G$12,WEEKDAY($B131,1)))</f>
        <v/>
      </c>
      <c r="K131" s="43" t="str">
        <f aca="false">IFERROR(IF($L131="","",TEXT(IF($L131&lt;1,HOUR($L131),INT($L131)),"00")&amp;":00"),"")</f>
        <v/>
      </c>
      <c r="L131" s="44"/>
      <c r="M131" s="45"/>
      <c r="N131" s="46"/>
      <c r="O131" s="45"/>
      <c r="P131" s="2"/>
      <c r="Q131" s="2"/>
      <c r="R131" s="2"/>
      <c r="S131" s="2"/>
      <c r="T131" s="2"/>
      <c r="U131" s="47" t="str">
        <f aca="false">IF($G131="","",IF($G131&lt;0,IF(N($U130)=0,1,$U130+1),0))</f>
        <v/>
      </c>
      <c r="V131" s="47" t="str">
        <f aca="false">IF($G131="","",IF($V130="",'Empieza aquí'!$D$8,$V130)+$G131)</f>
        <v/>
      </c>
      <c r="W131" s="47" t="str">
        <f aca="false">IF($V131="","",MAX(IF($W130="",'Empieza aquí'!$D$8,$W130),$V131))</f>
        <v/>
      </c>
      <c r="X131" s="47" t="str">
        <f aca="false">IF($V131="","",$V131-$W131)</f>
        <v/>
      </c>
      <c r="Y131" s="3"/>
      <c r="Z131" s="3"/>
      <c r="AA131" s="3"/>
      <c r="AB131" s="3"/>
      <c r="AC131" s="3"/>
      <c r="AD131" s="3"/>
      <c r="AE131" s="3"/>
      <c r="AF131" s="3"/>
      <c r="AG131" s="3"/>
      <c r="AH131" s="3"/>
    </row>
    <row r="132" customFormat="false" ht="15" hidden="false" customHeight="true" outlineLevel="0" collapsed="false">
      <c r="A132" s="2"/>
      <c r="B132" s="36"/>
      <c r="C132" s="37"/>
      <c r="D132" s="37"/>
      <c r="E132" s="38"/>
      <c r="F132" s="39"/>
      <c r="G132" s="40" t="str">
        <f aca="false">IF(OR($E132="",$C132="",$D132=""),"",$E132*$D132*IFERROR(INDEX(Listas!$C$6:$C$20,MATCH($C132,Listas!$B$6:$B$20,0)),0)-$D132*IFERROR(INDEX(Listas!$D$6:$D$20,MATCH($C132,Listas!$B$6:$B$20,0)),0))</f>
        <v/>
      </c>
      <c r="H132" s="41" t="str">
        <f aca="false">IF(OR($F132="",$C132="",$D132=""),"",ABS($F132)*$D132*IFERROR(INDEX(Listas!$C$6:$C$20,MATCH($C132,Listas!$B$6:$B$20,0)),0))</f>
        <v/>
      </c>
      <c r="I132" s="42" t="str">
        <f aca="false">IF(OR($E132="",$F132="",$F132=0),"",$E132/ABS($F132))</f>
        <v/>
      </c>
      <c r="J132" s="43" t="str">
        <f aca="false">IF($B132="","",INDEX(Listas!$G$6:$G$12,WEEKDAY($B132,1)))</f>
        <v/>
      </c>
      <c r="K132" s="43" t="str">
        <f aca="false">IFERROR(IF($L132="","",TEXT(IF($L132&lt;1,HOUR($L132),INT($L132)),"00")&amp;":00"),"")</f>
        <v/>
      </c>
      <c r="L132" s="44"/>
      <c r="M132" s="45"/>
      <c r="N132" s="46"/>
      <c r="O132" s="45"/>
      <c r="P132" s="2"/>
      <c r="Q132" s="2"/>
      <c r="R132" s="2"/>
      <c r="S132" s="2"/>
      <c r="T132" s="2"/>
      <c r="U132" s="47" t="str">
        <f aca="false">IF($G132="","",IF($G132&lt;0,IF(N($U131)=0,1,$U131+1),0))</f>
        <v/>
      </c>
      <c r="V132" s="47" t="str">
        <f aca="false">IF($G132="","",IF($V131="",'Empieza aquí'!$D$8,$V131)+$G132)</f>
        <v/>
      </c>
      <c r="W132" s="47" t="str">
        <f aca="false">IF($V132="","",MAX(IF($W131="",'Empieza aquí'!$D$8,$W131),$V132))</f>
        <v/>
      </c>
      <c r="X132" s="47" t="str">
        <f aca="false">IF($V132="","",$V132-$W132)</f>
        <v/>
      </c>
      <c r="Y132" s="3"/>
      <c r="Z132" s="3"/>
      <c r="AA132" s="3"/>
      <c r="AB132" s="3"/>
      <c r="AC132" s="3"/>
      <c r="AD132" s="3"/>
      <c r="AE132" s="3"/>
      <c r="AF132" s="3"/>
      <c r="AG132" s="3"/>
      <c r="AH132" s="3"/>
    </row>
    <row r="133" customFormat="false" ht="15" hidden="false" customHeight="true" outlineLevel="0" collapsed="false">
      <c r="A133" s="2"/>
      <c r="B133" s="36"/>
      <c r="C133" s="37"/>
      <c r="D133" s="37"/>
      <c r="E133" s="38"/>
      <c r="F133" s="39"/>
      <c r="G133" s="40" t="str">
        <f aca="false">IF(OR($E133="",$C133="",$D133=""),"",$E133*$D133*IFERROR(INDEX(Listas!$C$6:$C$20,MATCH($C133,Listas!$B$6:$B$20,0)),0)-$D133*IFERROR(INDEX(Listas!$D$6:$D$20,MATCH($C133,Listas!$B$6:$B$20,0)),0))</f>
        <v/>
      </c>
      <c r="H133" s="41" t="str">
        <f aca="false">IF(OR($F133="",$C133="",$D133=""),"",ABS($F133)*$D133*IFERROR(INDEX(Listas!$C$6:$C$20,MATCH($C133,Listas!$B$6:$B$20,0)),0))</f>
        <v/>
      </c>
      <c r="I133" s="42" t="str">
        <f aca="false">IF(OR($E133="",$F133="",$F133=0),"",$E133/ABS($F133))</f>
        <v/>
      </c>
      <c r="J133" s="43" t="str">
        <f aca="false">IF($B133="","",INDEX(Listas!$G$6:$G$12,WEEKDAY($B133,1)))</f>
        <v/>
      </c>
      <c r="K133" s="43" t="str">
        <f aca="false">IFERROR(IF($L133="","",TEXT(IF($L133&lt;1,HOUR($L133),INT($L133)),"00")&amp;":00"),"")</f>
        <v/>
      </c>
      <c r="L133" s="44"/>
      <c r="M133" s="45"/>
      <c r="N133" s="46"/>
      <c r="O133" s="45"/>
      <c r="P133" s="2"/>
      <c r="Q133" s="2"/>
      <c r="R133" s="2"/>
      <c r="S133" s="2"/>
      <c r="T133" s="2"/>
      <c r="U133" s="47" t="str">
        <f aca="false">IF($G133="","",IF($G133&lt;0,IF(N($U132)=0,1,$U132+1),0))</f>
        <v/>
      </c>
      <c r="V133" s="47" t="str">
        <f aca="false">IF($G133="","",IF($V132="",'Empieza aquí'!$D$8,$V132)+$G133)</f>
        <v/>
      </c>
      <c r="W133" s="47" t="str">
        <f aca="false">IF($V133="","",MAX(IF($W132="",'Empieza aquí'!$D$8,$W132),$V133))</f>
        <v/>
      </c>
      <c r="X133" s="47" t="str">
        <f aca="false">IF($V133="","",$V133-$W133)</f>
        <v/>
      </c>
      <c r="Y133" s="3"/>
      <c r="Z133" s="3"/>
      <c r="AA133" s="3"/>
      <c r="AB133" s="3"/>
      <c r="AC133" s="3"/>
      <c r="AD133" s="3"/>
      <c r="AE133" s="3"/>
      <c r="AF133" s="3"/>
      <c r="AG133" s="3"/>
      <c r="AH133" s="3"/>
    </row>
    <row r="134" customFormat="false" ht="15" hidden="false" customHeight="true" outlineLevel="0" collapsed="false">
      <c r="A134" s="2"/>
      <c r="B134" s="36"/>
      <c r="C134" s="37"/>
      <c r="D134" s="37"/>
      <c r="E134" s="38"/>
      <c r="F134" s="39"/>
      <c r="G134" s="40" t="str">
        <f aca="false">IF(OR($E134="",$C134="",$D134=""),"",$E134*$D134*IFERROR(INDEX(Listas!$C$6:$C$20,MATCH($C134,Listas!$B$6:$B$20,0)),0)-$D134*IFERROR(INDEX(Listas!$D$6:$D$20,MATCH($C134,Listas!$B$6:$B$20,0)),0))</f>
        <v/>
      </c>
      <c r="H134" s="41" t="str">
        <f aca="false">IF(OR($F134="",$C134="",$D134=""),"",ABS($F134)*$D134*IFERROR(INDEX(Listas!$C$6:$C$20,MATCH($C134,Listas!$B$6:$B$20,0)),0))</f>
        <v/>
      </c>
      <c r="I134" s="42" t="str">
        <f aca="false">IF(OR($E134="",$F134="",$F134=0),"",$E134/ABS($F134))</f>
        <v/>
      </c>
      <c r="J134" s="43" t="str">
        <f aca="false">IF($B134="","",INDEX(Listas!$G$6:$G$12,WEEKDAY($B134,1)))</f>
        <v/>
      </c>
      <c r="K134" s="43" t="str">
        <f aca="false">IFERROR(IF($L134="","",TEXT(IF($L134&lt;1,HOUR($L134),INT($L134)),"00")&amp;":00"),"")</f>
        <v/>
      </c>
      <c r="L134" s="44"/>
      <c r="M134" s="45"/>
      <c r="N134" s="46"/>
      <c r="O134" s="45"/>
      <c r="P134" s="2"/>
      <c r="Q134" s="2"/>
      <c r="R134" s="2"/>
      <c r="S134" s="2"/>
      <c r="T134" s="2"/>
      <c r="U134" s="47" t="str">
        <f aca="false">IF($G134="","",IF($G134&lt;0,IF(N($U133)=0,1,$U133+1),0))</f>
        <v/>
      </c>
      <c r="V134" s="47" t="str">
        <f aca="false">IF($G134="","",IF($V133="",'Empieza aquí'!$D$8,$V133)+$G134)</f>
        <v/>
      </c>
      <c r="W134" s="47" t="str">
        <f aca="false">IF($V134="","",MAX(IF($W133="",'Empieza aquí'!$D$8,$W133),$V134))</f>
        <v/>
      </c>
      <c r="X134" s="47" t="str">
        <f aca="false">IF($V134="","",$V134-$W134)</f>
        <v/>
      </c>
      <c r="Y134" s="3"/>
      <c r="Z134" s="3"/>
      <c r="AA134" s="3"/>
      <c r="AB134" s="3"/>
      <c r="AC134" s="3"/>
      <c r="AD134" s="3"/>
      <c r="AE134" s="3"/>
      <c r="AF134" s="3"/>
      <c r="AG134" s="3"/>
      <c r="AH134" s="3"/>
    </row>
    <row r="135" customFormat="false" ht="15" hidden="false" customHeight="true" outlineLevel="0" collapsed="false">
      <c r="A135" s="2"/>
      <c r="B135" s="36"/>
      <c r="C135" s="37"/>
      <c r="D135" s="37"/>
      <c r="E135" s="38"/>
      <c r="F135" s="39"/>
      <c r="G135" s="40" t="str">
        <f aca="false">IF(OR($E135="",$C135="",$D135=""),"",$E135*$D135*IFERROR(INDEX(Listas!$C$6:$C$20,MATCH($C135,Listas!$B$6:$B$20,0)),0)-$D135*IFERROR(INDEX(Listas!$D$6:$D$20,MATCH($C135,Listas!$B$6:$B$20,0)),0))</f>
        <v/>
      </c>
      <c r="H135" s="41" t="str">
        <f aca="false">IF(OR($F135="",$C135="",$D135=""),"",ABS($F135)*$D135*IFERROR(INDEX(Listas!$C$6:$C$20,MATCH($C135,Listas!$B$6:$B$20,0)),0))</f>
        <v/>
      </c>
      <c r="I135" s="42" t="str">
        <f aca="false">IF(OR($E135="",$F135="",$F135=0),"",$E135/ABS($F135))</f>
        <v/>
      </c>
      <c r="J135" s="43" t="str">
        <f aca="false">IF($B135="","",INDEX(Listas!$G$6:$G$12,WEEKDAY($B135,1)))</f>
        <v/>
      </c>
      <c r="K135" s="43" t="str">
        <f aca="false">IFERROR(IF($L135="","",TEXT(IF($L135&lt;1,HOUR($L135),INT($L135)),"00")&amp;":00"),"")</f>
        <v/>
      </c>
      <c r="L135" s="44"/>
      <c r="M135" s="45"/>
      <c r="N135" s="46"/>
      <c r="O135" s="45"/>
      <c r="P135" s="2"/>
      <c r="Q135" s="2"/>
      <c r="R135" s="2"/>
      <c r="S135" s="2"/>
      <c r="T135" s="2"/>
      <c r="U135" s="47" t="str">
        <f aca="false">IF($G135="","",IF($G135&lt;0,IF(N($U134)=0,1,$U134+1),0))</f>
        <v/>
      </c>
      <c r="V135" s="47" t="str">
        <f aca="false">IF($G135="","",IF($V134="",'Empieza aquí'!$D$8,$V134)+$G135)</f>
        <v/>
      </c>
      <c r="W135" s="47" t="str">
        <f aca="false">IF($V135="","",MAX(IF($W134="",'Empieza aquí'!$D$8,$W134),$V135))</f>
        <v/>
      </c>
      <c r="X135" s="47" t="str">
        <f aca="false">IF($V135="","",$V135-$W135)</f>
        <v/>
      </c>
      <c r="Y135" s="3"/>
      <c r="Z135" s="3"/>
      <c r="AA135" s="3"/>
      <c r="AB135" s="3"/>
      <c r="AC135" s="3"/>
      <c r="AD135" s="3"/>
      <c r="AE135" s="3"/>
      <c r="AF135" s="3"/>
      <c r="AG135" s="3"/>
      <c r="AH135" s="3"/>
    </row>
    <row r="136" customFormat="false" ht="15" hidden="false" customHeight="true" outlineLevel="0" collapsed="false">
      <c r="A136" s="2"/>
      <c r="B136" s="36"/>
      <c r="C136" s="37"/>
      <c r="D136" s="37"/>
      <c r="E136" s="38"/>
      <c r="F136" s="39"/>
      <c r="G136" s="40" t="str">
        <f aca="false">IF(OR($E136="",$C136="",$D136=""),"",$E136*$D136*IFERROR(INDEX(Listas!$C$6:$C$20,MATCH($C136,Listas!$B$6:$B$20,0)),0)-$D136*IFERROR(INDEX(Listas!$D$6:$D$20,MATCH($C136,Listas!$B$6:$B$20,0)),0))</f>
        <v/>
      </c>
      <c r="H136" s="41" t="str">
        <f aca="false">IF(OR($F136="",$C136="",$D136=""),"",ABS($F136)*$D136*IFERROR(INDEX(Listas!$C$6:$C$20,MATCH($C136,Listas!$B$6:$B$20,0)),0))</f>
        <v/>
      </c>
      <c r="I136" s="42" t="str">
        <f aca="false">IF(OR($E136="",$F136="",$F136=0),"",$E136/ABS($F136))</f>
        <v/>
      </c>
      <c r="J136" s="43" t="str">
        <f aca="false">IF($B136="","",INDEX(Listas!$G$6:$G$12,WEEKDAY($B136,1)))</f>
        <v/>
      </c>
      <c r="K136" s="43" t="str">
        <f aca="false">IFERROR(IF($L136="","",TEXT(IF($L136&lt;1,HOUR($L136),INT($L136)),"00")&amp;":00"),"")</f>
        <v/>
      </c>
      <c r="L136" s="44"/>
      <c r="M136" s="45"/>
      <c r="N136" s="46"/>
      <c r="O136" s="45"/>
      <c r="P136" s="2"/>
      <c r="Q136" s="2"/>
      <c r="R136" s="2"/>
      <c r="S136" s="2"/>
      <c r="T136" s="2"/>
      <c r="U136" s="47" t="str">
        <f aca="false">IF($G136="","",IF($G136&lt;0,IF(N($U135)=0,1,$U135+1),0))</f>
        <v/>
      </c>
      <c r="V136" s="47" t="str">
        <f aca="false">IF($G136="","",IF($V135="",'Empieza aquí'!$D$8,$V135)+$G136)</f>
        <v/>
      </c>
      <c r="W136" s="47" t="str">
        <f aca="false">IF($V136="","",MAX(IF($W135="",'Empieza aquí'!$D$8,$W135),$V136))</f>
        <v/>
      </c>
      <c r="X136" s="47" t="str">
        <f aca="false">IF($V136="","",$V136-$W136)</f>
        <v/>
      </c>
      <c r="Y136" s="3"/>
      <c r="Z136" s="3"/>
      <c r="AA136" s="3"/>
      <c r="AB136" s="3"/>
      <c r="AC136" s="3"/>
      <c r="AD136" s="3"/>
      <c r="AE136" s="3"/>
      <c r="AF136" s="3"/>
      <c r="AG136" s="3"/>
      <c r="AH136" s="3"/>
    </row>
    <row r="137" customFormat="false" ht="15" hidden="false" customHeight="true" outlineLevel="0" collapsed="false">
      <c r="A137" s="2"/>
      <c r="B137" s="36"/>
      <c r="C137" s="37"/>
      <c r="D137" s="37"/>
      <c r="E137" s="38"/>
      <c r="F137" s="39"/>
      <c r="G137" s="40" t="str">
        <f aca="false">IF(OR($E137="",$C137="",$D137=""),"",$E137*$D137*IFERROR(INDEX(Listas!$C$6:$C$20,MATCH($C137,Listas!$B$6:$B$20,0)),0)-$D137*IFERROR(INDEX(Listas!$D$6:$D$20,MATCH($C137,Listas!$B$6:$B$20,0)),0))</f>
        <v/>
      </c>
      <c r="H137" s="41" t="str">
        <f aca="false">IF(OR($F137="",$C137="",$D137=""),"",ABS($F137)*$D137*IFERROR(INDEX(Listas!$C$6:$C$20,MATCH($C137,Listas!$B$6:$B$20,0)),0))</f>
        <v/>
      </c>
      <c r="I137" s="42" t="str">
        <f aca="false">IF(OR($E137="",$F137="",$F137=0),"",$E137/ABS($F137))</f>
        <v/>
      </c>
      <c r="J137" s="43" t="str">
        <f aca="false">IF($B137="","",INDEX(Listas!$G$6:$G$12,WEEKDAY($B137,1)))</f>
        <v/>
      </c>
      <c r="K137" s="43" t="str">
        <f aca="false">IFERROR(IF($L137="","",TEXT(IF($L137&lt;1,HOUR($L137),INT($L137)),"00")&amp;":00"),"")</f>
        <v/>
      </c>
      <c r="L137" s="44"/>
      <c r="M137" s="45"/>
      <c r="N137" s="46"/>
      <c r="O137" s="45"/>
      <c r="P137" s="2"/>
      <c r="Q137" s="2"/>
      <c r="R137" s="2"/>
      <c r="S137" s="2"/>
      <c r="T137" s="2"/>
      <c r="U137" s="47" t="str">
        <f aca="false">IF($G137="","",IF($G137&lt;0,IF(N($U136)=0,1,$U136+1),0))</f>
        <v/>
      </c>
      <c r="V137" s="47" t="str">
        <f aca="false">IF($G137="","",IF($V136="",'Empieza aquí'!$D$8,$V136)+$G137)</f>
        <v/>
      </c>
      <c r="W137" s="47" t="str">
        <f aca="false">IF($V137="","",MAX(IF($W136="",'Empieza aquí'!$D$8,$W136),$V137))</f>
        <v/>
      </c>
      <c r="X137" s="47" t="str">
        <f aca="false">IF($V137="","",$V137-$W137)</f>
        <v/>
      </c>
      <c r="Y137" s="3"/>
      <c r="Z137" s="3"/>
      <c r="AA137" s="3"/>
      <c r="AB137" s="3"/>
      <c r="AC137" s="3"/>
      <c r="AD137" s="3"/>
      <c r="AE137" s="3"/>
      <c r="AF137" s="3"/>
      <c r="AG137" s="3"/>
      <c r="AH137" s="3"/>
    </row>
    <row r="138" customFormat="false" ht="15" hidden="false" customHeight="true" outlineLevel="0" collapsed="false">
      <c r="A138" s="2"/>
      <c r="B138" s="36"/>
      <c r="C138" s="37"/>
      <c r="D138" s="37"/>
      <c r="E138" s="38"/>
      <c r="F138" s="39"/>
      <c r="G138" s="40" t="str">
        <f aca="false">IF(OR($E138="",$C138="",$D138=""),"",$E138*$D138*IFERROR(INDEX(Listas!$C$6:$C$20,MATCH($C138,Listas!$B$6:$B$20,0)),0)-$D138*IFERROR(INDEX(Listas!$D$6:$D$20,MATCH($C138,Listas!$B$6:$B$20,0)),0))</f>
        <v/>
      </c>
      <c r="H138" s="41" t="str">
        <f aca="false">IF(OR($F138="",$C138="",$D138=""),"",ABS($F138)*$D138*IFERROR(INDEX(Listas!$C$6:$C$20,MATCH($C138,Listas!$B$6:$B$20,0)),0))</f>
        <v/>
      </c>
      <c r="I138" s="42" t="str">
        <f aca="false">IF(OR($E138="",$F138="",$F138=0),"",$E138/ABS($F138))</f>
        <v/>
      </c>
      <c r="J138" s="43" t="str">
        <f aca="false">IF($B138="","",INDEX(Listas!$G$6:$G$12,WEEKDAY($B138,1)))</f>
        <v/>
      </c>
      <c r="K138" s="43" t="str">
        <f aca="false">IFERROR(IF($L138="","",TEXT(IF($L138&lt;1,HOUR($L138),INT($L138)),"00")&amp;":00"),"")</f>
        <v/>
      </c>
      <c r="L138" s="44"/>
      <c r="M138" s="45"/>
      <c r="N138" s="46"/>
      <c r="O138" s="45"/>
      <c r="P138" s="2"/>
      <c r="Q138" s="2"/>
      <c r="R138" s="2"/>
      <c r="S138" s="2"/>
      <c r="T138" s="2"/>
      <c r="U138" s="47" t="str">
        <f aca="false">IF($G138="","",IF($G138&lt;0,IF(N($U137)=0,1,$U137+1),0))</f>
        <v/>
      </c>
      <c r="V138" s="47" t="str">
        <f aca="false">IF($G138="","",IF($V137="",'Empieza aquí'!$D$8,$V137)+$G138)</f>
        <v/>
      </c>
      <c r="W138" s="47" t="str">
        <f aca="false">IF($V138="","",MAX(IF($W137="",'Empieza aquí'!$D$8,$W137),$V138))</f>
        <v/>
      </c>
      <c r="X138" s="47" t="str">
        <f aca="false">IF($V138="","",$V138-$W138)</f>
        <v/>
      </c>
      <c r="Y138" s="3"/>
      <c r="Z138" s="3"/>
      <c r="AA138" s="3"/>
      <c r="AB138" s="3"/>
      <c r="AC138" s="3"/>
      <c r="AD138" s="3"/>
      <c r="AE138" s="3"/>
      <c r="AF138" s="3"/>
      <c r="AG138" s="3"/>
      <c r="AH138" s="3"/>
    </row>
    <row r="139" customFormat="false" ht="15" hidden="false" customHeight="true" outlineLevel="0" collapsed="false">
      <c r="A139" s="2"/>
      <c r="B139" s="36"/>
      <c r="C139" s="37"/>
      <c r="D139" s="37"/>
      <c r="E139" s="38"/>
      <c r="F139" s="39"/>
      <c r="G139" s="40" t="str">
        <f aca="false">IF(OR($E139="",$C139="",$D139=""),"",$E139*$D139*IFERROR(INDEX(Listas!$C$6:$C$20,MATCH($C139,Listas!$B$6:$B$20,0)),0)-$D139*IFERROR(INDEX(Listas!$D$6:$D$20,MATCH($C139,Listas!$B$6:$B$20,0)),0))</f>
        <v/>
      </c>
      <c r="H139" s="41" t="str">
        <f aca="false">IF(OR($F139="",$C139="",$D139=""),"",ABS($F139)*$D139*IFERROR(INDEX(Listas!$C$6:$C$20,MATCH($C139,Listas!$B$6:$B$20,0)),0))</f>
        <v/>
      </c>
      <c r="I139" s="42" t="str">
        <f aca="false">IF(OR($E139="",$F139="",$F139=0),"",$E139/ABS($F139))</f>
        <v/>
      </c>
      <c r="J139" s="43" t="str">
        <f aca="false">IF($B139="","",INDEX(Listas!$G$6:$G$12,WEEKDAY($B139,1)))</f>
        <v/>
      </c>
      <c r="K139" s="43" t="str">
        <f aca="false">IFERROR(IF($L139="","",TEXT(IF($L139&lt;1,HOUR($L139),INT($L139)),"00")&amp;":00"),"")</f>
        <v/>
      </c>
      <c r="L139" s="44"/>
      <c r="M139" s="45"/>
      <c r="N139" s="46"/>
      <c r="O139" s="45"/>
      <c r="P139" s="2"/>
      <c r="Q139" s="2"/>
      <c r="R139" s="2"/>
      <c r="S139" s="2"/>
      <c r="T139" s="2"/>
      <c r="U139" s="47" t="str">
        <f aca="false">IF($G139="","",IF($G139&lt;0,IF(N($U138)=0,1,$U138+1),0))</f>
        <v/>
      </c>
      <c r="V139" s="47" t="str">
        <f aca="false">IF($G139="","",IF($V138="",'Empieza aquí'!$D$8,$V138)+$G139)</f>
        <v/>
      </c>
      <c r="W139" s="47" t="str">
        <f aca="false">IF($V139="","",MAX(IF($W138="",'Empieza aquí'!$D$8,$W138),$V139))</f>
        <v/>
      </c>
      <c r="X139" s="47" t="str">
        <f aca="false">IF($V139="","",$V139-$W139)</f>
        <v/>
      </c>
      <c r="Y139" s="3"/>
      <c r="Z139" s="3"/>
      <c r="AA139" s="3"/>
      <c r="AB139" s="3"/>
      <c r="AC139" s="3"/>
      <c r="AD139" s="3"/>
      <c r="AE139" s="3"/>
      <c r="AF139" s="3"/>
      <c r="AG139" s="3"/>
      <c r="AH139" s="3"/>
    </row>
    <row r="140" customFormat="false" ht="15" hidden="false" customHeight="true" outlineLevel="0" collapsed="false">
      <c r="A140" s="2"/>
      <c r="B140" s="36"/>
      <c r="C140" s="37"/>
      <c r="D140" s="37"/>
      <c r="E140" s="38"/>
      <c r="F140" s="39"/>
      <c r="G140" s="40" t="str">
        <f aca="false">IF(OR($E140="",$C140="",$D140=""),"",$E140*$D140*IFERROR(INDEX(Listas!$C$6:$C$20,MATCH($C140,Listas!$B$6:$B$20,0)),0)-$D140*IFERROR(INDEX(Listas!$D$6:$D$20,MATCH($C140,Listas!$B$6:$B$20,0)),0))</f>
        <v/>
      </c>
      <c r="H140" s="41" t="str">
        <f aca="false">IF(OR($F140="",$C140="",$D140=""),"",ABS($F140)*$D140*IFERROR(INDEX(Listas!$C$6:$C$20,MATCH($C140,Listas!$B$6:$B$20,0)),0))</f>
        <v/>
      </c>
      <c r="I140" s="42" t="str">
        <f aca="false">IF(OR($E140="",$F140="",$F140=0),"",$E140/ABS($F140))</f>
        <v/>
      </c>
      <c r="J140" s="43" t="str">
        <f aca="false">IF($B140="","",INDEX(Listas!$G$6:$G$12,WEEKDAY($B140,1)))</f>
        <v/>
      </c>
      <c r="K140" s="43" t="str">
        <f aca="false">IFERROR(IF($L140="","",TEXT(IF($L140&lt;1,HOUR($L140),INT($L140)),"00")&amp;":00"),"")</f>
        <v/>
      </c>
      <c r="L140" s="44"/>
      <c r="M140" s="45"/>
      <c r="N140" s="46"/>
      <c r="O140" s="45"/>
      <c r="P140" s="2"/>
      <c r="Q140" s="2"/>
      <c r="R140" s="2"/>
      <c r="S140" s="2"/>
      <c r="T140" s="2"/>
      <c r="U140" s="47" t="str">
        <f aca="false">IF($G140="","",IF($G140&lt;0,IF(N($U139)=0,1,$U139+1),0))</f>
        <v/>
      </c>
      <c r="V140" s="47" t="str">
        <f aca="false">IF($G140="","",IF($V139="",'Empieza aquí'!$D$8,$V139)+$G140)</f>
        <v/>
      </c>
      <c r="W140" s="47" t="str">
        <f aca="false">IF($V140="","",MAX(IF($W139="",'Empieza aquí'!$D$8,$W139),$V140))</f>
        <v/>
      </c>
      <c r="X140" s="47" t="str">
        <f aca="false">IF($V140="","",$V140-$W140)</f>
        <v/>
      </c>
      <c r="Y140" s="3"/>
      <c r="Z140" s="3"/>
      <c r="AA140" s="3"/>
      <c r="AB140" s="3"/>
      <c r="AC140" s="3"/>
      <c r="AD140" s="3"/>
      <c r="AE140" s="3"/>
      <c r="AF140" s="3"/>
      <c r="AG140" s="3"/>
      <c r="AH140" s="3"/>
    </row>
    <row r="141" customFormat="false" ht="15" hidden="false" customHeight="true" outlineLevel="0" collapsed="false">
      <c r="A141" s="2"/>
      <c r="B141" s="36"/>
      <c r="C141" s="37"/>
      <c r="D141" s="37"/>
      <c r="E141" s="38"/>
      <c r="F141" s="39"/>
      <c r="G141" s="40" t="str">
        <f aca="false">IF(OR($E141="",$C141="",$D141=""),"",$E141*$D141*IFERROR(INDEX(Listas!$C$6:$C$20,MATCH($C141,Listas!$B$6:$B$20,0)),0)-$D141*IFERROR(INDEX(Listas!$D$6:$D$20,MATCH($C141,Listas!$B$6:$B$20,0)),0))</f>
        <v/>
      </c>
      <c r="H141" s="41" t="str">
        <f aca="false">IF(OR($F141="",$C141="",$D141=""),"",ABS($F141)*$D141*IFERROR(INDEX(Listas!$C$6:$C$20,MATCH($C141,Listas!$B$6:$B$20,0)),0))</f>
        <v/>
      </c>
      <c r="I141" s="42" t="str">
        <f aca="false">IF(OR($E141="",$F141="",$F141=0),"",$E141/ABS($F141))</f>
        <v/>
      </c>
      <c r="J141" s="43" t="str">
        <f aca="false">IF($B141="","",INDEX(Listas!$G$6:$G$12,WEEKDAY($B141,1)))</f>
        <v/>
      </c>
      <c r="K141" s="43" t="str">
        <f aca="false">IFERROR(IF($L141="","",TEXT(IF($L141&lt;1,HOUR($L141),INT($L141)),"00")&amp;":00"),"")</f>
        <v/>
      </c>
      <c r="L141" s="44"/>
      <c r="M141" s="45"/>
      <c r="N141" s="46"/>
      <c r="O141" s="45"/>
      <c r="P141" s="2"/>
      <c r="Q141" s="2"/>
      <c r="R141" s="2"/>
      <c r="S141" s="2"/>
      <c r="T141" s="2"/>
      <c r="U141" s="47" t="str">
        <f aca="false">IF($G141="","",IF($G141&lt;0,IF(N($U140)=0,1,$U140+1),0))</f>
        <v/>
      </c>
      <c r="V141" s="47" t="str">
        <f aca="false">IF($G141="","",IF($V140="",'Empieza aquí'!$D$8,$V140)+$G141)</f>
        <v/>
      </c>
      <c r="W141" s="47" t="str">
        <f aca="false">IF($V141="","",MAX(IF($W140="",'Empieza aquí'!$D$8,$W140),$V141))</f>
        <v/>
      </c>
      <c r="X141" s="47" t="str">
        <f aca="false">IF($V141="","",$V141-$W141)</f>
        <v/>
      </c>
      <c r="Y141" s="3"/>
      <c r="Z141" s="3"/>
      <c r="AA141" s="3"/>
      <c r="AB141" s="3"/>
      <c r="AC141" s="3"/>
      <c r="AD141" s="3"/>
      <c r="AE141" s="3"/>
      <c r="AF141" s="3"/>
      <c r="AG141" s="3"/>
      <c r="AH141" s="3"/>
    </row>
    <row r="142" customFormat="false" ht="15" hidden="false" customHeight="true" outlineLevel="0" collapsed="false">
      <c r="A142" s="2"/>
      <c r="B142" s="36"/>
      <c r="C142" s="37"/>
      <c r="D142" s="37"/>
      <c r="E142" s="38"/>
      <c r="F142" s="39"/>
      <c r="G142" s="40" t="str">
        <f aca="false">IF(OR($E142="",$C142="",$D142=""),"",$E142*$D142*IFERROR(INDEX(Listas!$C$6:$C$20,MATCH($C142,Listas!$B$6:$B$20,0)),0)-$D142*IFERROR(INDEX(Listas!$D$6:$D$20,MATCH($C142,Listas!$B$6:$B$20,0)),0))</f>
        <v/>
      </c>
      <c r="H142" s="41" t="str">
        <f aca="false">IF(OR($F142="",$C142="",$D142=""),"",ABS($F142)*$D142*IFERROR(INDEX(Listas!$C$6:$C$20,MATCH($C142,Listas!$B$6:$B$20,0)),0))</f>
        <v/>
      </c>
      <c r="I142" s="42" t="str">
        <f aca="false">IF(OR($E142="",$F142="",$F142=0),"",$E142/ABS($F142))</f>
        <v/>
      </c>
      <c r="J142" s="43" t="str">
        <f aca="false">IF($B142="","",INDEX(Listas!$G$6:$G$12,WEEKDAY($B142,1)))</f>
        <v/>
      </c>
      <c r="K142" s="43" t="str">
        <f aca="false">IFERROR(IF($L142="","",TEXT(IF($L142&lt;1,HOUR($L142),INT($L142)),"00")&amp;":00"),"")</f>
        <v/>
      </c>
      <c r="L142" s="44"/>
      <c r="M142" s="45"/>
      <c r="N142" s="46"/>
      <c r="O142" s="45"/>
      <c r="P142" s="2"/>
      <c r="Q142" s="2"/>
      <c r="R142" s="2"/>
      <c r="S142" s="2"/>
      <c r="T142" s="2"/>
      <c r="U142" s="47" t="str">
        <f aca="false">IF($G142="","",IF($G142&lt;0,IF(N($U141)=0,1,$U141+1),0))</f>
        <v/>
      </c>
      <c r="V142" s="47" t="str">
        <f aca="false">IF($G142="","",IF($V141="",'Empieza aquí'!$D$8,$V141)+$G142)</f>
        <v/>
      </c>
      <c r="W142" s="47" t="str">
        <f aca="false">IF($V142="","",MAX(IF($W141="",'Empieza aquí'!$D$8,$W141),$V142))</f>
        <v/>
      </c>
      <c r="X142" s="47" t="str">
        <f aca="false">IF($V142="","",$V142-$W142)</f>
        <v/>
      </c>
      <c r="Y142" s="3"/>
      <c r="Z142" s="3"/>
      <c r="AA142" s="3"/>
      <c r="AB142" s="3"/>
      <c r="AC142" s="3"/>
      <c r="AD142" s="3"/>
      <c r="AE142" s="3"/>
      <c r="AF142" s="3"/>
      <c r="AG142" s="3"/>
      <c r="AH142" s="3"/>
    </row>
    <row r="143" customFormat="false" ht="15" hidden="false" customHeight="true" outlineLevel="0" collapsed="false">
      <c r="A143" s="2"/>
      <c r="B143" s="36"/>
      <c r="C143" s="37"/>
      <c r="D143" s="37"/>
      <c r="E143" s="38"/>
      <c r="F143" s="39"/>
      <c r="G143" s="40" t="str">
        <f aca="false">IF(OR($E143="",$C143="",$D143=""),"",$E143*$D143*IFERROR(INDEX(Listas!$C$6:$C$20,MATCH($C143,Listas!$B$6:$B$20,0)),0)-$D143*IFERROR(INDEX(Listas!$D$6:$D$20,MATCH($C143,Listas!$B$6:$B$20,0)),0))</f>
        <v/>
      </c>
      <c r="H143" s="41" t="str">
        <f aca="false">IF(OR($F143="",$C143="",$D143=""),"",ABS($F143)*$D143*IFERROR(INDEX(Listas!$C$6:$C$20,MATCH($C143,Listas!$B$6:$B$20,0)),0))</f>
        <v/>
      </c>
      <c r="I143" s="42" t="str">
        <f aca="false">IF(OR($E143="",$F143="",$F143=0),"",$E143/ABS($F143))</f>
        <v/>
      </c>
      <c r="J143" s="43" t="str">
        <f aca="false">IF($B143="","",INDEX(Listas!$G$6:$G$12,WEEKDAY($B143,1)))</f>
        <v/>
      </c>
      <c r="K143" s="43" t="str">
        <f aca="false">IFERROR(IF($L143="","",TEXT(IF($L143&lt;1,HOUR($L143),INT($L143)),"00")&amp;":00"),"")</f>
        <v/>
      </c>
      <c r="L143" s="44"/>
      <c r="M143" s="45"/>
      <c r="N143" s="46"/>
      <c r="O143" s="45"/>
      <c r="P143" s="2"/>
      <c r="Q143" s="2"/>
      <c r="R143" s="2"/>
      <c r="S143" s="2"/>
      <c r="T143" s="2"/>
      <c r="U143" s="47" t="str">
        <f aca="false">IF($G143="","",IF($G143&lt;0,IF(N($U142)=0,1,$U142+1),0))</f>
        <v/>
      </c>
      <c r="V143" s="47" t="str">
        <f aca="false">IF($G143="","",IF($V142="",'Empieza aquí'!$D$8,$V142)+$G143)</f>
        <v/>
      </c>
      <c r="W143" s="47" t="str">
        <f aca="false">IF($V143="","",MAX(IF($W142="",'Empieza aquí'!$D$8,$W142),$V143))</f>
        <v/>
      </c>
      <c r="X143" s="47" t="str">
        <f aca="false">IF($V143="","",$V143-$W143)</f>
        <v/>
      </c>
      <c r="Y143" s="3"/>
      <c r="Z143" s="3"/>
      <c r="AA143" s="3"/>
      <c r="AB143" s="3"/>
      <c r="AC143" s="3"/>
      <c r="AD143" s="3"/>
      <c r="AE143" s="3"/>
      <c r="AF143" s="3"/>
      <c r="AG143" s="3"/>
      <c r="AH143" s="3"/>
    </row>
    <row r="144" customFormat="false" ht="15" hidden="false" customHeight="true" outlineLevel="0" collapsed="false">
      <c r="A144" s="2"/>
      <c r="B144" s="36"/>
      <c r="C144" s="37"/>
      <c r="D144" s="37"/>
      <c r="E144" s="38"/>
      <c r="F144" s="39"/>
      <c r="G144" s="40" t="str">
        <f aca="false">IF(OR($E144="",$C144="",$D144=""),"",$E144*$D144*IFERROR(INDEX(Listas!$C$6:$C$20,MATCH($C144,Listas!$B$6:$B$20,0)),0)-$D144*IFERROR(INDEX(Listas!$D$6:$D$20,MATCH($C144,Listas!$B$6:$B$20,0)),0))</f>
        <v/>
      </c>
      <c r="H144" s="41" t="str">
        <f aca="false">IF(OR($F144="",$C144="",$D144=""),"",ABS($F144)*$D144*IFERROR(INDEX(Listas!$C$6:$C$20,MATCH($C144,Listas!$B$6:$B$20,0)),0))</f>
        <v/>
      </c>
      <c r="I144" s="42" t="str">
        <f aca="false">IF(OR($E144="",$F144="",$F144=0),"",$E144/ABS($F144))</f>
        <v/>
      </c>
      <c r="J144" s="43" t="str">
        <f aca="false">IF($B144="","",INDEX(Listas!$G$6:$G$12,WEEKDAY($B144,1)))</f>
        <v/>
      </c>
      <c r="K144" s="43" t="str">
        <f aca="false">IFERROR(IF($L144="","",TEXT(IF($L144&lt;1,HOUR($L144),INT($L144)),"00")&amp;":00"),"")</f>
        <v/>
      </c>
      <c r="L144" s="44"/>
      <c r="M144" s="45"/>
      <c r="N144" s="46"/>
      <c r="O144" s="45"/>
      <c r="P144" s="2"/>
      <c r="Q144" s="2"/>
      <c r="R144" s="2"/>
      <c r="S144" s="2"/>
      <c r="T144" s="2"/>
      <c r="U144" s="47" t="str">
        <f aca="false">IF($G144="","",IF($G144&lt;0,IF(N($U143)=0,1,$U143+1),0))</f>
        <v/>
      </c>
      <c r="V144" s="47" t="str">
        <f aca="false">IF($G144="","",IF($V143="",'Empieza aquí'!$D$8,$V143)+$G144)</f>
        <v/>
      </c>
      <c r="W144" s="47" t="str">
        <f aca="false">IF($V144="","",MAX(IF($W143="",'Empieza aquí'!$D$8,$W143),$V144))</f>
        <v/>
      </c>
      <c r="X144" s="47" t="str">
        <f aca="false">IF($V144="","",$V144-$W144)</f>
        <v/>
      </c>
      <c r="Y144" s="3"/>
      <c r="Z144" s="3"/>
      <c r="AA144" s="3"/>
      <c r="AB144" s="3"/>
      <c r="AC144" s="3"/>
      <c r="AD144" s="3"/>
      <c r="AE144" s="3"/>
      <c r="AF144" s="3"/>
      <c r="AG144" s="3"/>
      <c r="AH144" s="3"/>
    </row>
    <row r="145" customFormat="false" ht="15" hidden="false" customHeight="true" outlineLevel="0" collapsed="false">
      <c r="A145" s="2"/>
      <c r="B145" s="36"/>
      <c r="C145" s="37"/>
      <c r="D145" s="37"/>
      <c r="E145" s="38"/>
      <c r="F145" s="39"/>
      <c r="G145" s="40" t="str">
        <f aca="false">IF(OR($E145="",$C145="",$D145=""),"",$E145*$D145*IFERROR(INDEX(Listas!$C$6:$C$20,MATCH($C145,Listas!$B$6:$B$20,0)),0)-$D145*IFERROR(INDEX(Listas!$D$6:$D$20,MATCH($C145,Listas!$B$6:$B$20,0)),0))</f>
        <v/>
      </c>
      <c r="H145" s="41" t="str">
        <f aca="false">IF(OR($F145="",$C145="",$D145=""),"",ABS($F145)*$D145*IFERROR(INDEX(Listas!$C$6:$C$20,MATCH($C145,Listas!$B$6:$B$20,0)),0))</f>
        <v/>
      </c>
      <c r="I145" s="42" t="str">
        <f aca="false">IF(OR($E145="",$F145="",$F145=0),"",$E145/ABS($F145))</f>
        <v/>
      </c>
      <c r="J145" s="43" t="str">
        <f aca="false">IF($B145="","",INDEX(Listas!$G$6:$G$12,WEEKDAY($B145,1)))</f>
        <v/>
      </c>
      <c r="K145" s="43" t="str">
        <f aca="false">IFERROR(IF($L145="","",TEXT(IF($L145&lt;1,HOUR($L145),INT($L145)),"00")&amp;":00"),"")</f>
        <v/>
      </c>
      <c r="L145" s="44"/>
      <c r="M145" s="45"/>
      <c r="N145" s="46"/>
      <c r="O145" s="45"/>
      <c r="P145" s="2"/>
      <c r="Q145" s="2"/>
      <c r="R145" s="2"/>
      <c r="S145" s="2"/>
      <c r="T145" s="2"/>
      <c r="U145" s="47" t="str">
        <f aca="false">IF($G145="","",IF($G145&lt;0,IF(N($U144)=0,1,$U144+1),0))</f>
        <v/>
      </c>
      <c r="V145" s="47" t="str">
        <f aca="false">IF($G145="","",IF($V144="",'Empieza aquí'!$D$8,$V144)+$G145)</f>
        <v/>
      </c>
      <c r="W145" s="47" t="str">
        <f aca="false">IF($V145="","",MAX(IF($W144="",'Empieza aquí'!$D$8,$W144),$V145))</f>
        <v/>
      </c>
      <c r="X145" s="47" t="str">
        <f aca="false">IF($V145="","",$V145-$W145)</f>
        <v/>
      </c>
      <c r="Y145" s="3"/>
      <c r="Z145" s="3"/>
      <c r="AA145" s="3"/>
      <c r="AB145" s="3"/>
      <c r="AC145" s="3"/>
      <c r="AD145" s="3"/>
      <c r="AE145" s="3"/>
      <c r="AF145" s="3"/>
      <c r="AG145" s="3"/>
      <c r="AH145" s="3"/>
    </row>
    <row r="146" customFormat="false" ht="15" hidden="false" customHeight="true" outlineLevel="0" collapsed="false">
      <c r="A146" s="2"/>
      <c r="B146" s="36"/>
      <c r="C146" s="37"/>
      <c r="D146" s="37"/>
      <c r="E146" s="38"/>
      <c r="F146" s="39"/>
      <c r="G146" s="40" t="str">
        <f aca="false">IF(OR($E146="",$C146="",$D146=""),"",$E146*$D146*IFERROR(INDEX(Listas!$C$6:$C$20,MATCH($C146,Listas!$B$6:$B$20,0)),0)-$D146*IFERROR(INDEX(Listas!$D$6:$D$20,MATCH($C146,Listas!$B$6:$B$20,0)),0))</f>
        <v/>
      </c>
      <c r="H146" s="41" t="str">
        <f aca="false">IF(OR($F146="",$C146="",$D146=""),"",ABS($F146)*$D146*IFERROR(INDEX(Listas!$C$6:$C$20,MATCH($C146,Listas!$B$6:$B$20,0)),0))</f>
        <v/>
      </c>
      <c r="I146" s="42" t="str">
        <f aca="false">IF(OR($E146="",$F146="",$F146=0),"",$E146/ABS($F146))</f>
        <v/>
      </c>
      <c r="J146" s="43" t="str">
        <f aca="false">IF($B146="","",INDEX(Listas!$G$6:$G$12,WEEKDAY($B146,1)))</f>
        <v/>
      </c>
      <c r="K146" s="43" t="str">
        <f aca="false">IFERROR(IF($L146="","",TEXT(IF($L146&lt;1,HOUR($L146),INT($L146)),"00")&amp;":00"),"")</f>
        <v/>
      </c>
      <c r="L146" s="44"/>
      <c r="M146" s="45"/>
      <c r="N146" s="46"/>
      <c r="O146" s="45"/>
      <c r="P146" s="2"/>
      <c r="Q146" s="2"/>
      <c r="R146" s="2"/>
      <c r="S146" s="2"/>
      <c r="T146" s="2"/>
      <c r="U146" s="47" t="str">
        <f aca="false">IF($G146="","",IF($G146&lt;0,IF(N($U145)=0,1,$U145+1),0))</f>
        <v/>
      </c>
      <c r="V146" s="47" t="str">
        <f aca="false">IF($G146="","",IF($V145="",'Empieza aquí'!$D$8,$V145)+$G146)</f>
        <v/>
      </c>
      <c r="W146" s="47" t="str">
        <f aca="false">IF($V146="","",MAX(IF($W145="",'Empieza aquí'!$D$8,$W145),$V146))</f>
        <v/>
      </c>
      <c r="X146" s="47" t="str">
        <f aca="false">IF($V146="","",$V146-$W146)</f>
        <v/>
      </c>
      <c r="Y146" s="3"/>
      <c r="Z146" s="3"/>
      <c r="AA146" s="3"/>
      <c r="AB146" s="3"/>
      <c r="AC146" s="3"/>
      <c r="AD146" s="3"/>
      <c r="AE146" s="3"/>
      <c r="AF146" s="3"/>
      <c r="AG146" s="3"/>
      <c r="AH146" s="3"/>
    </row>
    <row r="147" customFormat="false" ht="15" hidden="false" customHeight="true" outlineLevel="0" collapsed="false">
      <c r="A147" s="2"/>
      <c r="B147" s="36"/>
      <c r="C147" s="37"/>
      <c r="D147" s="37"/>
      <c r="E147" s="38"/>
      <c r="F147" s="39"/>
      <c r="G147" s="40" t="str">
        <f aca="false">IF(OR($E147="",$C147="",$D147=""),"",$E147*$D147*IFERROR(INDEX(Listas!$C$6:$C$20,MATCH($C147,Listas!$B$6:$B$20,0)),0)-$D147*IFERROR(INDEX(Listas!$D$6:$D$20,MATCH($C147,Listas!$B$6:$B$20,0)),0))</f>
        <v/>
      </c>
      <c r="H147" s="41" t="str">
        <f aca="false">IF(OR($F147="",$C147="",$D147=""),"",ABS($F147)*$D147*IFERROR(INDEX(Listas!$C$6:$C$20,MATCH($C147,Listas!$B$6:$B$20,0)),0))</f>
        <v/>
      </c>
      <c r="I147" s="42" t="str">
        <f aca="false">IF(OR($E147="",$F147="",$F147=0),"",$E147/ABS($F147))</f>
        <v/>
      </c>
      <c r="J147" s="43" t="str">
        <f aca="false">IF($B147="","",INDEX(Listas!$G$6:$G$12,WEEKDAY($B147,1)))</f>
        <v/>
      </c>
      <c r="K147" s="43" t="str">
        <f aca="false">IFERROR(IF($L147="","",TEXT(IF($L147&lt;1,HOUR($L147),INT($L147)),"00")&amp;":00"),"")</f>
        <v/>
      </c>
      <c r="L147" s="44"/>
      <c r="M147" s="45"/>
      <c r="N147" s="46"/>
      <c r="O147" s="45"/>
      <c r="P147" s="2"/>
      <c r="Q147" s="2"/>
      <c r="R147" s="2"/>
      <c r="S147" s="2"/>
      <c r="T147" s="2"/>
      <c r="U147" s="47" t="str">
        <f aca="false">IF($G147="","",IF($G147&lt;0,IF(N($U146)=0,1,$U146+1),0))</f>
        <v/>
      </c>
      <c r="V147" s="47" t="str">
        <f aca="false">IF($G147="","",IF($V146="",'Empieza aquí'!$D$8,$V146)+$G147)</f>
        <v/>
      </c>
      <c r="W147" s="47" t="str">
        <f aca="false">IF($V147="","",MAX(IF($W146="",'Empieza aquí'!$D$8,$W146),$V147))</f>
        <v/>
      </c>
      <c r="X147" s="47" t="str">
        <f aca="false">IF($V147="","",$V147-$W147)</f>
        <v/>
      </c>
      <c r="Y147" s="3"/>
      <c r="Z147" s="3"/>
      <c r="AA147" s="3"/>
      <c r="AB147" s="3"/>
      <c r="AC147" s="3"/>
      <c r="AD147" s="3"/>
      <c r="AE147" s="3"/>
      <c r="AF147" s="3"/>
      <c r="AG147" s="3"/>
      <c r="AH147" s="3"/>
    </row>
    <row r="148" customFormat="false" ht="15" hidden="false" customHeight="true" outlineLevel="0" collapsed="false">
      <c r="A148" s="2"/>
      <c r="B148" s="36"/>
      <c r="C148" s="37"/>
      <c r="D148" s="37"/>
      <c r="E148" s="38"/>
      <c r="F148" s="39"/>
      <c r="G148" s="40" t="str">
        <f aca="false">IF(OR($E148="",$C148="",$D148=""),"",$E148*$D148*IFERROR(INDEX(Listas!$C$6:$C$20,MATCH($C148,Listas!$B$6:$B$20,0)),0)-$D148*IFERROR(INDEX(Listas!$D$6:$D$20,MATCH($C148,Listas!$B$6:$B$20,0)),0))</f>
        <v/>
      </c>
      <c r="H148" s="41" t="str">
        <f aca="false">IF(OR($F148="",$C148="",$D148=""),"",ABS($F148)*$D148*IFERROR(INDEX(Listas!$C$6:$C$20,MATCH($C148,Listas!$B$6:$B$20,0)),0))</f>
        <v/>
      </c>
      <c r="I148" s="42" t="str">
        <f aca="false">IF(OR($E148="",$F148="",$F148=0),"",$E148/ABS($F148))</f>
        <v/>
      </c>
      <c r="J148" s="43" t="str">
        <f aca="false">IF($B148="","",INDEX(Listas!$G$6:$G$12,WEEKDAY($B148,1)))</f>
        <v/>
      </c>
      <c r="K148" s="43" t="str">
        <f aca="false">IFERROR(IF($L148="","",TEXT(IF($L148&lt;1,HOUR($L148),INT($L148)),"00")&amp;":00"),"")</f>
        <v/>
      </c>
      <c r="L148" s="44"/>
      <c r="M148" s="45"/>
      <c r="N148" s="46"/>
      <c r="O148" s="45"/>
      <c r="P148" s="2"/>
      <c r="Q148" s="2"/>
      <c r="R148" s="2"/>
      <c r="S148" s="2"/>
      <c r="T148" s="2"/>
      <c r="U148" s="47" t="str">
        <f aca="false">IF($G148="","",IF($G148&lt;0,IF(N($U147)=0,1,$U147+1),0))</f>
        <v/>
      </c>
      <c r="V148" s="47" t="str">
        <f aca="false">IF($G148="","",IF($V147="",'Empieza aquí'!$D$8,$V147)+$G148)</f>
        <v/>
      </c>
      <c r="W148" s="47" t="str">
        <f aca="false">IF($V148="","",MAX(IF($W147="",'Empieza aquí'!$D$8,$W147),$V148))</f>
        <v/>
      </c>
      <c r="X148" s="47" t="str">
        <f aca="false">IF($V148="","",$V148-$W148)</f>
        <v/>
      </c>
      <c r="Y148" s="3"/>
      <c r="Z148" s="3"/>
      <c r="AA148" s="3"/>
      <c r="AB148" s="3"/>
      <c r="AC148" s="3"/>
      <c r="AD148" s="3"/>
      <c r="AE148" s="3"/>
      <c r="AF148" s="3"/>
      <c r="AG148" s="3"/>
      <c r="AH148" s="3"/>
    </row>
    <row r="149" customFormat="false" ht="15" hidden="false" customHeight="true" outlineLevel="0" collapsed="false">
      <c r="A149" s="2"/>
      <c r="B149" s="36"/>
      <c r="C149" s="37"/>
      <c r="D149" s="37"/>
      <c r="E149" s="38"/>
      <c r="F149" s="39"/>
      <c r="G149" s="40" t="str">
        <f aca="false">IF(OR($E149="",$C149="",$D149=""),"",$E149*$D149*IFERROR(INDEX(Listas!$C$6:$C$20,MATCH($C149,Listas!$B$6:$B$20,0)),0)-$D149*IFERROR(INDEX(Listas!$D$6:$D$20,MATCH($C149,Listas!$B$6:$B$20,0)),0))</f>
        <v/>
      </c>
      <c r="H149" s="41" t="str">
        <f aca="false">IF(OR($F149="",$C149="",$D149=""),"",ABS($F149)*$D149*IFERROR(INDEX(Listas!$C$6:$C$20,MATCH($C149,Listas!$B$6:$B$20,0)),0))</f>
        <v/>
      </c>
      <c r="I149" s="42" t="str">
        <f aca="false">IF(OR($E149="",$F149="",$F149=0),"",$E149/ABS($F149))</f>
        <v/>
      </c>
      <c r="J149" s="43" t="str">
        <f aca="false">IF($B149="","",INDEX(Listas!$G$6:$G$12,WEEKDAY($B149,1)))</f>
        <v/>
      </c>
      <c r="K149" s="43" t="str">
        <f aca="false">IFERROR(IF($L149="","",TEXT(IF($L149&lt;1,HOUR($L149),INT($L149)),"00")&amp;":00"),"")</f>
        <v/>
      </c>
      <c r="L149" s="44"/>
      <c r="M149" s="45"/>
      <c r="N149" s="46"/>
      <c r="O149" s="45"/>
      <c r="P149" s="2"/>
      <c r="Q149" s="2"/>
      <c r="R149" s="2"/>
      <c r="S149" s="2"/>
      <c r="T149" s="2"/>
      <c r="U149" s="47" t="str">
        <f aca="false">IF($G149="","",IF($G149&lt;0,IF(N($U148)=0,1,$U148+1),0))</f>
        <v/>
      </c>
      <c r="V149" s="47" t="str">
        <f aca="false">IF($G149="","",IF($V148="",'Empieza aquí'!$D$8,$V148)+$G149)</f>
        <v/>
      </c>
      <c r="W149" s="47" t="str">
        <f aca="false">IF($V149="","",MAX(IF($W148="",'Empieza aquí'!$D$8,$W148),$V149))</f>
        <v/>
      </c>
      <c r="X149" s="47" t="str">
        <f aca="false">IF($V149="","",$V149-$W149)</f>
        <v/>
      </c>
      <c r="Y149" s="3"/>
      <c r="Z149" s="3"/>
      <c r="AA149" s="3"/>
      <c r="AB149" s="3"/>
      <c r="AC149" s="3"/>
      <c r="AD149" s="3"/>
      <c r="AE149" s="3"/>
      <c r="AF149" s="3"/>
      <c r="AG149" s="3"/>
      <c r="AH149" s="3"/>
    </row>
    <row r="150" customFormat="false" ht="15" hidden="false" customHeight="true" outlineLevel="0" collapsed="false">
      <c r="A150" s="2"/>
      <c r="B150" s="36"/>
      <c r="C150" s="37"/>
      <c r="D150" s="37"/>
      <c r="E150" s="38"/>
      <c r="F150" s="39"/>
      <c r="G150" s="40" t="str">
        <f aca="false">IF(OR($E150="",$C150="",$D150=""),"",$E150*$D150*IFERROR(INDEX(Listas!$C$6:$C$20,MATCH($C150,Listas!$B$6:$B$20,0)),0)-$D150*IFERROR(INDEX(Listas!$D$6:$D$20,MATCH($C150,Listas!$B$6:$B$20,0)),0))</f>
        <v/>
      </c>
      <c r="H150" s="41" t="str">
        <f aca="false">IF(OR($F150="",$C150="",$D150=""),"",ABS($F150)*$D150*IFERROR(INDEX(Listas!$C$6:$C$20,MATCH($C150,Listas!$B$6:$B$20,0)),0))</f>
        <v/>
      </c>
      <c r="I150" s="42" t="str">
        <f aca="false">IF(OR($E150="",$F150="",$F150=0),"",$E150/ABS($F150))</f>
        <v/>
      </c>
      <c r="J150" s="43" t="str">
        <f aca="false">IF($B150="","",INDEX(Listas!$G$6:$G$12,WEEKDAY($B150,1)))</f>
        <v/>
      </c>
      <c r="K150" s="43" t="str">
        <f aca="false">IFERROR(IF($L150="","",TEXT(IF($L150&lt;1,HOUR($L150),INT($L150)),"00")&amp;":00"),"")</f>
        <v/>
      </c>
      <c r="L150" s="44"/>
      <c r="M150" s="45"/>
      <c r="N150" s="46"/>
      <c r="O150" s="45"/>
      <c r="P150" s="2"/>
      <c r="Q150" s="2"/>
      <c r="R150" s="2"/>
      <c r="S150" s="2"/>
      <c r="T150" s="2"/>
      <c r="U150" s="47" t="str">
        <f aca="false">IF($G150="","",IF($G150&lt;0,IF(N($U149)=0,1,$U149+1),0))</f>
        <v/>
      </c>
      <c r="V150" s="47" t="str">
        <f aca="false">IF($G150="","",IF($V149="",'Empieza aquí'!$D$8,$V149)+$G150)</f>
        <v/>
      </c>
      <c r="W150" s="47" t="str">
        <f aca="false">IF($V150="","",MAX(IF($W149="",'Empieza aquí'!$D$8,$W149),$V150))</f>
        <v/>
      </c>
      <c r="X150" s="47" t="str">
        <f aca="false">IF($V150="","",$V150-$W150)</f>
        <v/>
      </c>
      <c r="Y150" s="3"/>
      <c r="Z150" s="3"/>
      <c r="AA150" s="3"/>
      <c r="AB150" s="3"/>
      <c r="AC150" s="3"/>
      <c r="AD150" s="3"/>
      <c r="AE150" s="3"/>
      <c r="AF150" s="3"/>
      <c r="AG150" s="3"/>
      <c r="AH150" s="3"/>
    </row>
    <row r="151" customFormat="false" ht="15" hidden="false" customHeight="true" outlineLevel="0" collapsed="false">
      <c r="A151" s="2"/>
      <c r="B151" s="36"/>
      <c r="C151" s="37"/>
      <c r="D151" s="37"/>
      <c r="E151" s="38"/>
      <c r="F151" s="39"/>
      <c r="G151" s="40" t="str">
        <f aca="false">IF(OR($E151="",$C151="",$D151=""),"",$E151*$D151*IFERROR(INDEX(Listas!$C$6:$C$20,MATCH($C151,Listas!$B$6:$B$20,0)),0)-$D151*IFERROR(INDEX(Listas!$D$6:$D$20,MATCH($C151,Listas!$B$6:$B$20,0)),0))</f>
        <v/>
      </c>
      <c r="H151" s="41" t="str">
        <f aca="false">IF(OR($F151="",$C151="",$D151=""),"",ABS($F151)*$D151*IFERROR(INDEX(Listas!$C$6:$C$20,MATCH($C151,Listas!$B$6:$B$20,0)),0))</f>
        <v/>
      </c>
      <c r="I151" s="42" t="str">
        <f aca="false">IF(OR($E151="",$F151="",$F151=0),"",$E151/ABS($F151))</f>
        <v/>
      </c>
      <c r="J151" s="43" t="str">
        <f aca="false">IF($B151="","",INDEX(Listas!$G$6:$G$12,WEEKDAY($B151,1)))</f>
        <v/>
      </c>
      <c r="K151" s="43" t="str">
        <f aca="false">IFERROR(IF($L151="","",TEXT(IF($L151&lt;1,HOUR($L151),INT($L151)),"00")&amp;":00"),"")</f>
        <v/>
      </c>
      <c r="L151" s="44"/>
      <c r="M151" s="45"/>
      <c r="N151" s="46"/>
      <c r="O151" s="45"/>
      <c r="P151" s="2"/>
      <c r="Q151" s="2"/>
      <c r="R151" s="2"/>
      <c r="S151" s="2"/>
      <c r="T151" s="2"/>
      <c r="U151" s="47" t="str">
        <f aca="false">IF($G151="","",IF($G151&lt;0,IF(N($U150)=0,1,$U150+1),0))</f>
        <v/>
      </c>
      <c r="V151" s="47" t="str">
        <f aca="false">IF($G151="","",IF($V150="",'Empieza aquí'!$D$8,$V150)+$G151)</f>
        <v/>
      </c>
      <c r="W151" s="47" t="str">
        <f aca="false">IF($V151="","",MAX(IF($W150="",'Empieza aquí'!$D$8,$W150),$V151))</f>
        <v/>
      </c>
      <c r="X151" s="47" t="str">
        <f aca="false">IF($V151="","",$V151-$W151)</f>
        <v/>
      </c>
      <c r="Y151" s="3"/>
      <c r="Z151" s="3"/>
      <c r="AA151" s="3"/>
      <c r="AB151" s="3"/>
      <c r="AC151" s="3"/>
      <c r="AD151" s="3"/>
      <c r="AE151" s="3"/>
      <c r="AF151" s="3"/>
      <c r="AG151" s="3"/>
      <c r="AH151" s="3"/>
    </row>
    <row r="152" customFormat="false" ht="15" hidden="false" customHeight="true" outlineLevel="0" collapsed="false">
      <c r="A152" s="2"/>
      <c r="B152" s="36"/>
      <c r="C152" s="37"/>
      <c r="D152" s="37"/>
      <c r="E152" s="38"/>
      <c r="F152" s="39"/>
      <c r="G152" s="40" t="str">
        <f aca="false">IF(OR($E152="",$C152="",$D152=""),"",$E152*$D152*IFERROR(INDEX(Listas!$C$6:$C$20,MATCH($C152,Listas!$B$6:$B$20,0)),0)-$D152*IFERROR(INDEX(Listas!$D$6:$D$20,MATCH($C152,Listas!$B$6:$B$20,0)),0))</f>
        <v/>
      </c>
      <c r="H152" s="41" t="str">
        <f aca="false">IF(OR($F152="",$C152="",$D152=""),"",ABS($F152)*$D152*IFERROR(INDEX(Listas!$C$6:$C$20,MATCH($C152,Listas!$B$6:$B$20,0)),0))</f>
        <v/>
      </c>
      <c r="I152" s="42" t="str">
        <f aca="false">IF(OR($E152="",$F152="",$F152=0),"",$E152/ABS($F152))</f>
        <v/>
      </c>
      <c r="J152" s="43" t="str">
        <f aca="false">IF($B152="","",INDEX(Listas!$G$6:$G$12,WEEKDAY($B152,1)))</f>
        <v/>
      </c>
      <c r="K152" s="43" t="str">
        <f aca="false">IFERROR(IF($L152="","",TEXT(IF($L152&lt;1,HOUR($L152),INT($L152)),"00")&amp;":00"),"")</f>
        <v/>
      </c>
      <c r="L152" s="44"/>
      <c r="M152" s="45"/>
      <c r="N152" s="46"/>
      <c r="O152" s="45"/>
      <c r="P152" s="2"/>
      <c r="Q152" s="2"/>
      <c r="R152" s="2"/>
      <c r="S152" s="2"/>
      <c r="T152" s="2"/>
      <c r="U152" s="47" t="str">
        <f aca="false">IF($G152="","",IF($G152&lt;0,IF(N($U151)=0,1,$U151+1),0))</f>
        <v/>
      </c>
      <c r="V152" s="47" t="str">
        <f aca="false">IF($G152="","",IF($V151="",'Empieza aquí'!$D$8,$V151)+$G152)</f>
        <v/>
      </c>
      <c r="W152" s="47" t="str">
        <f aca="false">IF($V152="","",MAX(IF($W151="",'Empieza aquí'!$D$8,$W151),$V152))</f>
        <v/>
      </c>
      <c r="X152" s="47" t="str">
        <f aca="false">IF($V152="","",$V152-$W152)</f>
        <v/>
      </c>
      <c r="Y152" s="3"/>
      <c r="Z152" s="3"/>
      <c r="AA152" s="3"/>
      <c r="AB152" s="3"/>
      <c r="AC152" s="3"/>
      <c r="AD152" s="3"/>
      <c r="AE152" s="3"/>
      <c r="AF152" s="3"/>
      <c r="AG152" s="3"/>
      <c r="AH152" s="3"/>
    </row>
    <row r="153" customFormat="false" ht="15" hidden="false" customHeight="true" outlineLevel="0" collapsed="false">
      <c r="A153" s="2"/>
      <c r="B153" s="36"/>
      <c r="C153" s="37"/>
      <c r="D153" s="37"/>
      <c r="E153" s="38"/>
      <c r="F153" s="39"/>
      <c r="G153" s="40" t="str">
        <f aca="false">IF(OR($E153="",$C153="",$D153=""),"",$E153*$D153*IFERROR(INDEX(Listas!$C$6:$C$20,MATCH($C153,Listas!$B$6:$B$20,0)),0)-$D153*IFERROR(INDEX(Listas!$D$6:$D$20,MATCH($C153,Listas!$B$6:$B$20,0)),0))</f>
        <v/>
      </c>
      <c r="H153" s="41" t="str">
        <f aca="false">IF(OR($F153="",$C153="",$D153=""),"",ABS($F153)*$D153*IFERROR(INDEX(Listas!$C$6:$C$20,MATCH($C153,Listas!$B$6:$B$20,0)),0))</f>
        <v/>
      </c>
      <c r="I153" s="42" t="str">
        <f aca="false">IF(OR($E153="",$F153="",$F153=0),"",$E153/ABS($F153))</f>
        <v/>
      </c>
      <c r="J153" s="43" t="str">
        <f aca="false">IF($B153="","",INDEX(Listas!$G$6:$G$12,WEEKDAY($B153,1)))</f>
        <v/>
      </c>
      <c r="K153" s="43" t="str">
        <f aca="false">IFERROR(IF($L153="","",TEXT(IF($L153&lt;1,HOUR($L153),INT($L153)),"00")&amp;":00"),"")</f>
        <v/>
      </c>
      <c r="L153" s="44"/>
      <c r="M153" s="45"/>
      <c r="N153" s="46"/>
      <c r="O153" s="45"/>
      <c r="P153" s="2"/>
      <c r="Q153" s="2"/>
      <c r="R153" s="2"/>
      <c r="S153" s="2"/>
      <c r="T153" s="2"/>
      <c r="U153" s="47" t="str">
        <f aca="false">IF($G153="","",IF($G153&lt;0,IF(N($U152)=0,1,$U152+1),0))</f>
        <v/>
      </c>
      <c r="V153" s="47" t="str">
        <f aca="false">IF($G153="","",IF($V152="",'Empieza aquí'!$D$8,$V152)+$G153)</f>
        <v/>
      </c>
      <c r="W153" s="47" t="str">
        <f aca="false">IF($V153="","",MAX(IF($W152="",'Empieza aquí'!$D$8,$W152),$V153))</f>
        <v/>
      </c>
      <c r="X153" s="47" t="str">
        <f aca="false">IF($V153="","",$V153-$W153)</f>
        <v/>
      </c>
      <c r="Y153" s="3"/>
      <c r="Z153" s="3"/>
      <c r="AA153" s="3"/>
      <c r="AB153" s="3"/>
      <c r="AC153" s="3"/>
      <c r="AD153" s="3"/>
      <c r="AE153" s="3"/>
      <c r="AF153" s="3"/>
      <c r="AG153" s="3"/>
      <c r="AH153" s="3"/>
    </row>
    <row r="154" customFormat="false" ht="15" hidden="false" customHeight="true" outlineLevel="0" collapsed="false">
      <c r="A154" s="2"/>
      <c r="B154" s="36"/>
      <c r="C154" s="37"/>
      <c r="D154" s="37"/>
      <c r="E154" s="38"/>
      <c r="F154" s="39"/>
      <c r="G154" s="40" t="str">
        <f aca="false">IF(OR($E154="",$C154="",$D154=""),"",$E154*$D154*IFERROR(INDEX(Listas!$C$6:$C$20,MATCH($C154,Listas!$B$6:$B$20,0)),0)-$D154*IFERROR(INDEX(Listas!$D$6:$D$20,MATCH($C154,Listas!$B$6:$B$20,0)),0))</f>
        <v/>
      </c>
      <c r="H154" s="41" t="str">
        <f aca="false">IF(OR($F154="",$C154="",$D154=""),"",ABS($F154)*$D154*IFERROR(INDEX(Listas!$C$6:$C$20,MATCH($C154,Listas!$B$6:$B$20,0)),0))</f>
        <v/>
      </c>
      <c r="I154" s="42" t="str">
        <f aca="false">IF(OR($E154="",$F154="",$F154=0),"",$E154/ABS($F154))</f>
        <v/>
      </c>
      <c r="J154" s="43" t="str">
        <f aca="false">IF($B154="","",INDEX(Listas!$G$6:$G$12,WEEKDAY($B154,1)))</f>
        <v/>
      </c>
      <c r="K154" s="43" t="str">
        <f aca="false">IFERROR(IF($L154="","",TEXT(IF($L154&lt;1,HOUR($L154),INT($L154)),"00")&amp;":00"),"")</f>
        <v/>
      </c>
      <c r="L154" s="44"/>
      <c r="M154" s="45"/>
      <c r="N154" s="46"/>
      <c r="O154" s="45"/>
      <c r="P154" s="2"/>
      <c r="Q154" s="2"/>
      <c r="R154" s="2"/>
      <c r="S154" s="2"/>
      <c r="T154" s="2"/>
      <c r="U154" s="47" t="str">
        <f aca="false">IF($G154="","",IF($G154&lt;0,IF(N($U153)=0,1,$U153+1),0))</f>
        <v/>
      </c>
      <c r="V154" s="47" t="str">
        <f aca="false">IF($G154="","",IF($V153="",'Empieza aquí'!$D$8,$V153)+$G154)</f>
        <v/>
      </c>
      <c r="W154" s="47" t="str">
        <f aca="false">IF($V154="","",MAX(IF($W153="",'Empieza aquí'!$D$8,$W153),$V154))</f>
        <v/>
      </c>
      <c r="X154" s="47" t="str">
        <f aca="false">IF($V154="","",$V154-$W154)</f>
        <v/>
      </c>
      <c r="Y154" s="3"/>
      <c r="Z154" s="3"/>
      <c r="AA154" s="3"/>
      <c r="AB154" s="3"/>
      <c r="AC154" s="3"/>
      <c r="AD154" s="3"/>
      <c r="AE154" s="3"/>
      <c r="AF154" s="3"/>
      <c r="AG154" s="3"/>
      <c r="AH154" s="3"/>
    </row>
    <row r="155" customFormat="false" ht="15" hidden="false" customHeight="true" outlineLevel="0" collapsed="false">
      <c r="A155" s="2"/>
      <c r="B155" s="36"/>
      <c r="C155" s="37"/>
      <c r="D155" s="37"/>
      <c r="E155" s="38"/>
      <c r="F155" s="39"/>
      <c r="G155" s="40" t="str">
        <f aca="false">IF(OR($E155="",$C155="",$D155=""),"",$E155*$D155*IFERROR(INDEX(Listas!$C$6:$C$20,MATCH($C155,Listas!$B$6:$B$20,0)),0)-$D155*IFERROR(INDEX(Listas!$D$6:$D$20,MATCH($C155,Listas!$B$6:$B$20,0)),0))</f>
        <v/>
      </c>
      <c r="H155" s="41" t="str">
        <f aca="false">IF(OR($F155="",$C155="",$D155=""),"",ABS($F155)*$D155*IFERROR(INDEX(Listas!$C$6:$C$20,MATCH($C155,Listas!$B$6:$B$20,0)),0))</f>
        <v/>
      </c>
      <c r="I155" s="42" t="str">
        <f aca="false">IF(OR($E155="",$F155="",$F155=0),"",$E155/ABS($F155))</f>
        <v/>
      </c>
      <c r="J155" s="43" t="str">
        <f aca="false">IF($B155="","",INDEX(Listas!$G$6:$G$12,WEEKDAY($B155,1)))</f>
        <v/>
      </c>
      <c r="K155" s="43" t="str">
        <f aca="false">IFERROR(IF($L155="","",TEXT(IF($L155&lt;1,HOUR($L155),INT($L155)),"00")&amp;":00"),"")</f>
        <v/>
      </c>
      <c r="L155" s="44"/>
      <c r="M155" s="45"/>
      <c r="N155" s="46"/>
      <c r="O155" s="45"/>
      <c r="P155" s="2"/>
      <c r="Q155" s="2"/>
      <c r="R155" s="2"/>
      <c r="S155" s="2"/>
      <c r="T155" s="2"/>
      <c r="U155" s="47" t="str">
        <f aca="false">IF($G155="","",IF($G155&lt;0,IF(N($U154)=0,1,$U154+1),0))</f>
        <v/>
      </c>
      <c r="V155" s="47" t="str">
        <f aca="false">IF($G155="","",IF($V154="",'Empieza aquí'!$D$8,$V154)+$G155)</f>
        <v/>
      </c>
      <c r="W155" s="47" t="str">
        <f aca="false">IF($V155="","",MAX(IF($W154="",'Empieza aquí'!$D$8,$W154),$V155))</f>
        <v/>
      </c>
      <c r="X155" s="47" t="str">
        <f aca="false">IF($V155="","",$V155-$W155)</f>
        <v/>
      </c>
      <c r="Y155" s="3"/>
      <c r="Z155" s="3"/>
      <c r="AA155" s="3"/>
      <c r="AB155" s="3"/>
      <c r="AC155" s="3"/>
      <c r="AD155" s="3"/>
      <c r="AE155" s="3"/>
      <c r="AF155" s="3"/>
      <c r="AG155" s="3"/>
      <c r="AH155" s="3"/>
    </row>
    <row r="156" customFormat="false" ht="15" hidden="false" customHeight="true" outlineLevel="0" collapsed="false">
      <c r="A156" s="2"/>
      <c r="B156" s="36"/>
      <c r="C156" s="37"/>
      <c r="D156" s="37"/>
      <c r="E156" s="38"/>
      <c r="F156" s="39"/>
      <c r="G156" s="40" t="str">
        <f aca="false">IF(OR($E156="",$C156="",$D156=""),"",$E156*$D156*IFERROR(INDEX(Listas!$C$6:$C$20,MATCH($C156,Listas!$B$6:$B$20,0)),0)-$D156*IFERROR(INDEX(Listas!$D$6:$D$20,MATCH($C156,Listas!$B$6:$B$20,0)),0))</f>
        <v/>
      </c>
      <c r="H156" s="41" t="str">
        <f aca="false">IF(OR($F156="",$C156="",$D156=""),"",ABS($F156)*$D156*IFERROR(INDEX(Listas!$C$6:$C$20,MATCH($C156,Listas!$B$6:$B$20,0)),0))</f>
        <v/>
      </c>
      <c r="I156" s="42" t="str">
        <f aca="false">IF(OR($E156="",$F156="",$F156=0),"",$E156/ABS($F156))</f>
        <v/>
      </c>
      <c r="J156" s="43" t="str">
        <f aca="false">IF($B156="","",INDEX(Listas!$G$6:$G$12,WEEKDAY($B156,1)))</f>
        <v/>
      </c>
      <c r="K156" s="43" t="str">
        <f aca="false">IFERROR(IF($L156="","",TEXT(IF($L156&lt;1,HOUR($L156),INT($L156)),"00")&amp;":00"),"")</f>
        <v/>
      </c>
      <c r="L156" s="44"/>
      <c r="M156" s="45"/>
      <c r="N156" s="46"/>
      <c r="O156" s="45"/>
      <c r="P156" s="2"/>
      <c r="Q156" s="2"/>
      <c r="R156" s="2"/>
      <c r="S156" s="2"/>
      <c r="T156" s="2"/>
      <c r="U156" s="47" t="str">
        <f aca="false">IF($G156="","",IF($G156&lt;0,IF(N($U155)=0,1,$U155+1),0))</f>
        <v/>
      </c>
      <c r="V156" s="47" t="str">
        <f aca="false">IF($G156="","",IF($V155="",'Empieza aquí'!$D$8,$V155)+$G156)</f>
        <v/>
      </c>
      <c r="W156" s="47" t="str">
        <f aca="false">IF($V156="","",MAX(IF($W155="",'Empieza aquí'!$D$8,$W155),$V156))</f>
        <v/>
      </c>
      <c r="X156" s="47" t="str">
        <f aca="false">IF($V156="","",$V156-$W156)</f>
        <v/>
      </c>
      <c r="Y156" s="3"/>
      <c r="Z156" s="3"/>
      <c r="AA156" s="3"/>
      <c r="AB156" s="3"/>
      <c r="AC156" s="3"/>
      <c r="AD156" s="3"/>
      <c r="AE156" s="3"/>
      <c r="AF156" s="3"/>
      <c r="AG156" s="3"/>
      <c r="AH156" s="3"/>
    </row>
    <row r="157" customFormat="false" ht="15" hidden="false" customHeight="true" outlineLevel="0" collapsed="false">
      <c r="A157" s="2"/>
      <c r="B157" s="36"/>
      <c r="C157" s="37"/>
      <c r="D157" s="37"/>
      <c r="E157" s="38"/>
      <c r="F157" s="39"/>
      <c r="G157" s="40" t="str">
        <f aca="false">IF(OR($E157="",$C157="",$D157=""),"",$E157*$D157*IFERROR(INDEX(Listas!$C$6:$C$20,MATCH($C157,Listas!$B$6:$B$20,0)),0)-$D157*IFERROR(INDEX(Listas!$D$6:$D$20,MATCH($C157,Listas!$B$6:$B$20,0)),0))</f>
        <v/>
      </c>
      <c r="H157" s="41" t="str">
        <f aca="false">IF(OR($F157="",$C157="",$D157=""),"",ABS($F157)*$D157*IFERROR(INDEX(Listas!$C$6:$C$20,MATCH($C157,Listas!$B$6:$B$20,0)),0))</f>
        <v/>
      </c>
      <c r="I157" s="42" t="str">
        <f aca="false">IF(OR($E157="",$F157="",$F157=0),"",$E157/ABS($F157))</f>
        <v/>
      </c>
      <c r="J157" s="43" t="str">
        <f aca="false">IF($B157="","",INDEX(Listas!$G$6:$G$12,WEEKDAY($B157,1)))</f>
        <v/>
      </c>
      <c r="K157" s="43" t="str">
        <f aca="false">IFERROR(IF($L157="","",TEXT(IF($L157&lt;1,HOUR($L157),INT($L157)),"00")&amp;":00"),"")</f>
        <v/>
      </c>
      <c r="L157" s="44"/>
      <c r="M157" s="45"/>
      <c r="N157" s="46"/>
      <c r="O157" s="45"/>
      <c r="P157" s="2"/>
      <c r="Q157" s="2"/>
      <c r="R157" s="2"/>
      <c r="S157" s="2"/>
      <c r="T157" s="2"/>
      <c r="U157" s="47" t="str">
        <f aca="false">IF($G157="","",IF($G157&lt;0,IF(N($U156)=0,1,$U156+1),0))</f>
        <v/>
      </c>
      <c r="V157" s="47" t="str">
        <f aca="false">IF($G157="","",IF($V156="",'Empieza aquí'!$D$8,$V156)+$G157)</f>
        <v/>
      </c>
      <c r="W157" s="47" t="str">
        <f aca="false">IF($V157="","",MAX(IF($W156="",'Empieza aquí'!$D$8,$W156),$V157))</f>
        <v/>
      </c>
      <c r="X157" s="47" t="str">
        <f aca="false">IF($V157="","",$V157-$W157)</f>
        <v/>
      </c>
      <c r="Y157" s="3"/>
      <c r="Z157" s="3"/>
      <c r="AA157" s="3"/>
      <c r="AB157" s="3"/>
      <c r="AC157" s="3"/>
      <c r="AD157" s="3"/>
      <c r="AE157" s="3"/>
      <c r="AF157" s="3"/>
      <c r="AG157" s="3"/>
      <c r="AH157" s="3"/>
    </row>
    <row r="158" customFormat="false" ht="15" hidden="false" customHeight="true" outlineLevel="0" collapsed="false">
      <c r="A158" s="2"/>
      <c r="B158" s="36"/>
      <c r="C158" s="37"/>
      <c r="D158" s="37"/>
      <c r="E158" s="38"/>
      <c r="F158" s="39"/>
      <c r="G158" s="40" t="str">
        <f aca="false">IF(OR($E158="",$C158="",$D158=""),"",$E158*$D158*IFERROR(INDEX(Listas!$C$6:$C$20,MATCH($C158,Listas!$B$6:$B$20,0)),0)-$D158*IFERROR(INDEX(Listas!$D$6:$D$20,MATCH($C158,Listas!$B$6:$B$20,0)),0))</f>
        <v/>
      </c>
      <c r="H158" s="41" t="str">
        <f aca="false">IF(OR($F158="",$C158="",$D158=""),"",ABS($F158)*$D158*IFERROR(INDEX(Listas!$C$6:$C$20,MATCH($C158,Listas!$B$6:$B$20,0)),0))</f>
        <v/>
      </c>
      <c r="I158" s="42" t="str">
        <f aca="false">IF(OR($E158="",$F158="",$F158=0),"",$E158/ABS($F158))</f>
        <v/>
      </c>
      <c r="J158" s="43" t="str">
        <f aca="false">IF($B158="","",INDEX(Listas!$G$6:$G$12,WEEKDAY($B158,1)))</f>
        <v/>
      </c>
      <c r="K158" s="43" t="str">
        <f aca="false">IFERROR(IF($L158="","",TEXT(IF($L158&lt;1,HOUR($L158),INT($L158)),"00")&amp;":00"),"")</f>
        <v/>
      </c>
      <c r="L158" s="44"/>
      <c r="M158" s="45"/>
      <c r="N158" s="46"/>
      <c r="O158" s="45"/>
      <c r="P158" s="2"/>
      <c r="Q158" s="2"/>
      <c r="R158" s="2"/>
      <c r="S158" s="2"/>
      <c r="T158" s="2"/>
      <c r="U158" s="47" t="str">
        <f aca="false">IF($G158="","",IF($G158&lt;0,IF(N($U157)=0,1,$U157+1),0))</f>
        <v/>
      </c>
      <c r="V158" s="47" t="str">
        <f aca="false">IF($G158="","",IF($V157="",'Empieza aquí'!$D$8,$V157)+$G158)</f>
        <v/>
      </c>
      <c r="W158" s="47" t="str">
        <f aca="false">IF($V158="","",MAX(IF($W157="",'Empieza aquí'!$D$8,$W157),$V158))</f>
        <v/>
      </c>
      <c r="X158" s="47" t="str">
        <f aca="false">IF($V158="","",$V158-$W158)</f>
        <v/>
      </c>
      <c r="Y158" s="3"/>
      <c r="Z158" s="3"/>
      <c r="AA158" s="3"/>
      <c r="AB158" s="3"/>
      <c r="AC158" s="3"/>
      <c r="AD158" s="3"/>
      <c r="AE158" s="3"/>
      <c r="AF158" s="3"/>
      <c r="AG158" s="3"/>
      <c r="AH158" s="3"/>
    </row>
    <row r="159" customFormat="false" ht="15" hidden="false" customHeight="true" outlineLevel="0" collapsed="false">
      <c r="A159" s="2"/>
      <c r="B159" s="36"/>
      <c r="C159" s="37"/>
      <c r="D159" s="37"/>
      <c r="E159" s="38"/>
      <c r="F159" s="39"/>
      <c r="G159" s="40" t="str">
        <f aca="false">IF(OR($E159="",$C159="",$D159=""),"",$E159*$D159*IFERROR(INDEX(Listas!$C$6:$C$20,MATCH($C159,Listas!$B$6:$B$20,0)),0)-$D159*IFERROR(INDEX(Listas!$D$6:$D$20,MATCH($C159,Listas!$B$6:$B$20,0)),0))</f>
        <v/>
      </c>
      <c r="H159" s="41" t="str">
        <f aca="false">IF(OR($F159="",$C159="",$D159=""),"",ABS($F159)*$D159*IFERROR(INDEX(Listas!$C$6:$C$20,MATCH($C159,Listas!$B$6:$B$20,0)),0))</f>
        <v/>
      </c>
      <c r="I159" s="42" t="str">
        <f aca="false">IF(OR($E159="",$F159="",$F159=0),"",$E159/ABS($F159))</f>
        <v/>
      </c>
      <c r="J159" s="43" t="str">
        <f aca="false">IF($B159="","",INDEX(Listas!$G$6:$G$12,WEEKDAY($B159,1)))</f>
        <v/>
      </c>
      <c r="K159" s="43" t="str">
        <f aca="false">IFERROR(IF($L159="","",TEXT(IF($L159&lt;1,HOUR($L159),INT($L159)),"00")&amp;":00"),"")</f>
        <v/>
      </c>
      <c r="L159" s="44"/>
      <c r="M159" s="45"/>
      <c r="N159" s="46"/>
      <c r="O159" s="45"/>
      <c r="P159" s="2"/>
      <c r="Q159" s="2"/>
      <c r="R159" s="2"/>
      <c r="S159" s="2"/>
      <c r="T159" s="2"/>
      <c r="U159" s="47" t="str">
        <f aca="false">IF($G159="","",IF($G159&lt;0,IF(N($U158)=0,1,$U158+1),0))</f>
        <v/>
      </c>
      <c r="V159" s="47" t="str">
        <f aca="false">IF($G159="","",IF($V158="",'Empieza aquí'!$D$8,$V158)+$G159)</f>
        <v/>
      </c>
      <c r="W159" s="47" t="str">
        <f aca="false">IF($V159="","",MAX(IF($W158="",'Empieza aquí'!$D$8,$W158),$V159))</f>
        <v/>
      </c>
      <c r="X159" s="47" t="str">
        <f aca="false">IF($V159="","",$V159-$W159)</f>
        <v/>
      </c>
      <c r="Y159" s="3"/>
      <c r="Z159" s="3"/>
      <c r="AA159" s="3"/>
      <c r="AB159" s="3"/>
      <c r="AC159" s="3"/>
      <c r="AD159" s="3"/>
      <c r="AE159" s="3"/>
      <c r="AF159" s="3"/>
      <c r="AG159" s="3"/>
      <c r="AH159" s="3"/>
    </row>
    <row r="160" customFormat="false" ht="15" hidden="false" customHeight="true" outlineLevel="0" collapsed="false">
      <c r="A160" s="2"/>
      <c r="B160" s="36"/>
      <c r="C160" s="37"/>
      <c r="D160" s="37"/>
      <c r="E160" s="38"/>
      <c r="F160" s="39"/>
      <c r="G160" s="40" t="str">
        <f aca="false">IF(OR($E160="",$C160="",$D160=""),"",$E160*$D160*IFERROR(INDEX(Listas!$C$6:$C$20,MATCH($C160,Listas!$B$6:$B$20,0)),0)-$D160*IFERROR(INDEX(Listas!$D$6:$D$20,MATCH($C160,Listas!$B$6:$B$20,0)),0))</f>
        <v/>
      </c>
      <c r="H160" s="41" t="str">
        <f aca="false">IF(OR($F160="",$C160="",$D160=""),"",ABS($F160)*$D160*IFERROR(INDEX(Listas!$C$6:$C$20,MATCH($C160,Listas!$B$6:$B$20,0)),0))</f>
        <v/>
      </c>
      <c r="I160" s="42" t="str">
        <f aca="false">IF(OR($E160="",$F160="",$F160=0),"",$E160/ABS($F160))</f>
        <v/>
      </c>
      <c r="J160" s="43" t="str">
        <f aca="false">IF($B160="","",INDEX(Listas!$G$6:$G$12,WEEKDAY($B160,1)))</f>
        <v/>
      </c>
      <c r="K160" s="43" t="str">
        <f aca="false">IFERROR(IF($L160="","",TEXT(IF($L160&lt;1,HOUR($L160),INT($L160)),"00")&amp;":00"),"")</f>
        <v/>
      </c>
      <c r="L160" s="44"/>
      <c r="M160" s="45"/>
      <c r="N160" s="46"/>
      <c r="O160" s="45"/>
      <c r="P160" s="2"/>
      <c r="Q160" s="2"/>
      <c r="R160" s="2"/>
      <c r="S160" s="2"/>
      <c r="T160" s="2"/>
      <c r="U160" s="47" t="str">
        <f aca="false">IF($G160="","",IF($G160&lt;0,IF(N($U159)=0,1,$U159+1),0))</f>
        <v/>
      </c>
      <c r="V160" s="47" t="str">
        <f aca="false">IF($G160="","",IF($V159="",'Empieza aquí'!$D$8,$V159)+$G160)</f>
        <v/>
      </c>
      <c r="W160" s="47" t="str">
        <f aca="false">IF($V160="","",MAX(IF($W159="",'Empieza aquí'!$D$8,$W159),$V160))</f>
        <v/>
      </c>
      <c r="X160" s="47" t="str">
        <f aca="false">IF($V160="","",$V160-$W160)</f>
        <v/>
      </c>
      <c r="Y160" s="3"/>
      <c r="Z160" s="3"/>
      <c r="AA160" s="3"/>
      <c r="AB160" s="3"/>
      <c r="AC160" s="3"/>
      <c r="AD160" s="3"/>
      <c r="AE160" s="3"/>
      <c r="AF160" s="3"/>
      <c r="AG160" s="3"/>
      <c r="AH160" s="3"/>
    </row>
    <row r="161" customFormat="false" ht="15" hidden="false" customHeight="true" outlineLevel="0" collapsed="false">
      <c r="A161" s="2"/>
      <c r="B161" s="36"/>
      <c r="C161" s="37"/>
      <c r="D161" s="37"/>
      <c r="E161" s="38"/>
      <c r="F161" s="39"/>
      <c r="G161" s="40" t="str">
        <f aca="false">IF(OR($E161="",$C161="",$D161=""),"",$E161*$D161*IFERROR(INDEX(Listas!$C$6:$C$20,MATCH($C161,Listas!$B$6:$B$20,0)),0)-$D161*IFERROR(INDEX(Listas!$D$6:$D$20,MATCH($C161,Listas!$B$6:$B$20,0)),0))</f>
        <v/>
      </c>
      <c r="H161" s="41" t="str">
        <f aca="false">IF(OR($F161="",$C161="",$D161=""),"",ABS($F161)*$D161*IFERROR(INDEX(Listas!$C$6:$C$20,MATCH($C161,Listas!$B$6:$B$20,0)),0))</f>
        <v/>
      </c>
      <c r="I161" s="42" t="str">
        <f aca="false">IF(OR($E161="",$F161="",$F161=0),"",$E161/ABS($F161))</f>
        <v/>
      </c>
      <c r="J161" s="43" t="str">
        <f aca="false">IF($B161="","",INDEX(Listas!$G$6:$G$12,WEEKDAY($B161,1)))</f>
        <v/>
      </c>
      <c r="K161" s="43" t="str">
        <f aca="false">IFERROR(IF($L161="","",TEXT(IF($L161&lt;1,HOUR($L161),INT($L161)),"00")&amp;":00"),"")</f>
        <v/>
      </c>
      <c r="L161" s="44"/>
      <c r="M161" s="45"/>
      <c r="N161" s="46"/>
      <c r="O161" s="45"/>
      <c r="P161" s="2"/>
      <c r="Q161" s="2"/>
      <c r="R161" s="2"/>
      <c r="S161" s="2"/>
      <c r="T161" s="2"/>
      <c r="U161" s="47" t="str">
        <f aca="false">IF($G161="","",IF($G161&lt;0,IF(N($U160)=0,1,$U160+1),0))</f>
        <v/>
      </c>
      <c r="V161" s="47" t="str">
        <f aca="false">IF($G161="","",IF($V160="",'Empieza aquí'!$D$8,$V160)+$G161)</f>
        <v/>
      </c>
      <c r="W161" s="47" t="str">
        <f aca="false">IF($V161="","",MAX(IF($W160="",'Empieza aquí'!$D$8,$W160),$V161))</f>
        <v/>
      </c>
      <c r="X161" s="47" t="str">
        <f aca="false">IF($V161="","",$V161-$W161)</f>
        <v/>
      </c>
      <c r="Y161" s="3"/>
      <c r="Z161" s="3"/>
      <c r="AA161" s="3"/>
      <c r="AB161" s="3"/>
      <c r="AC161" s="3"/>
      <c r="AD161" s="3"/>
      <c r="AE161" s="3"/>
      <c r="AF161" s="3"/>
      <c r="AG161" s="3"/>
      <c r="AH161" s="3"/>
    </row>
    <row r="162" customFormat="false" ht="15" hidden="false" customHeight="true" outlineLevel="0" collapsed="false">
      <c r="A162" s="2"/>
      <c r="B162" s="36"/>
      <c r="C162" s="37"/>
      <c r="D162" s="37"/>
      <c r="E162" s="38"/>
      <c r="F162" s="39"/>
      <c r="G162" s="40" t="str">
        <f aca="false">IF(OR($E162="",$C162="",$D162=""),"",$E162*$D162*IFERROR(INDEX(Listas!$C$6:$C$20,MATCH($C162,Listas!$B$6:$B$20,0)),0)-$D162*IFERROR(INDEX(Listas!$D$6:$D$20,MATCH($C162,Listas!$B$6:$B$20,0)),0))</f>
        <v/>
      </c>
      <c r="H162" s="41" t="str">
        <f aca="false">IF(OR($F162="",$C162="",$D162=""),"",ABS($F162)*$D162*IFERROR(INDEX(Listas!$C$6:$C$20,MATCH($C162,Listas!$B$6:$B$20,0)),0))</f>
        <v/>
      </c>
      <c r="I162" s="42" t="str">
        <f aca="false">IF(OR($E162="",$F162="",$F162=0),"",$E162/ABS($F162))</f>
        <v/>
      </c>
      <c r="J162" s="43" t="str">
        <f aca="false">IF($B162="","",INDEX(Listas!$G$6:$G$12,WEEKDAY($B162,1)))</f>
        <v/>
      </c>
      <c r="K162" s="43" t="str">
        <f aca="false">IFERROR(IF($L162="","",TEXT(IF($L162&lt;1,HOUR($L162),INT($L162)),"00")&amp;":00"),"")</f>
        <v/>
      </c>
      <c r="L162" s="44"/>
      <c r="M162" s="45"/>
      <c r="N162" s="46"/>
      <c r="O162" s="45"/>
      <c r="P162" s="2"/>
      <c r="Q162" s="2"/>
      <c r="R162" s="2"/>
      <c r="S162" s="2"/>
      <c r="T162" s="2"/>
      <c r="U162" s="47" t="str">
        <f aca="false">IF($G162="","",IF($G162&lt;0,IF(N($U161)=0,1,$U161+1),0))</f>
        <v/>
      </c>
      <c r="V162" s="47" t="str">
        <f aca="false">IF($G162="","",IF($V161="",'Empieza aquí'!$D$8,$V161)+$G162)</f>
        <v/>
      </c>
      <c r="W162" s="47" t="str">
        <f aca="false">IF($V162="","",MAX(IF($W161="",'Empieza aquí'!$D$8,$W161),$V162))</f>
        <v/>
      </c>
      <c r="X162" s="47" t="str">
        <f aca="false">IF($V162="","",$V162-$W162)</f>
        <v/>
      </c>
      <c r="Y162" s="3"/>
      <c r="Z162" s="3"/>
      <c r="AA162" s="3"/>
      <c r="AB162" s="3"/>
      <c r="AC162" s="3"/>
      <c r="AD162" s="3"/>
      <c r="AE162" s="3"/>
      <c r="AF162" s="3"/>
      <c r="AG162" s="3"/>
      <c r="AH162" s="3"/>
    </row>
    <row r="163" customFormat="false" ht="15" hidden="false" customHeight="true" outlineLevel="0" collapsed="false">
      <c r="A163" s="2"/>
      <c r="B163" s="36"/>
      <c r="C163" s="37"/>
      <c r="D163" s="37"/>
      <c r="E163" s="38"/>
      <c r="F163" s="39"/>
      <c r="G163" s="40" t="str">
        <f aca="false">IF(OR($E163="",$C163="",$D163=""),"",$E163*$D163*IFERROR(INDEX(Listas!$C$6:$C$20,MATCH($C163,Listas!$B$6:$B$20,0)),0)-$D163*IFERROR(INDEX(Listas!$D$6:$D$20,MATCH($C163,Listas!$B$6:$B$20,0)),0))</f>
        <v/>
      </c>
      <c r="H163" s="41" t="str">
        <f aca="false">IF(OR($F163="",$C163="",$D163=""),"",ABS($F163)*$D163*IFERROR(INDEX(Listas!$C$6:$C$20,MATCH($C163,Listas!$B$6:$B$20,0)),0))</f>
        <v/>
      </c>
      <c r="I163" s="42" t="str">
        <f aca="false">IF(OR($E163="",$F163="",$F163=0),"",$E163/ABS($F163))</f>
        <v/>
      </c>
      <c r="J163" s="43" t="str">
        <f aca="false">IF($B163="","",INDEX(Listas!$G$6:$G$12,WEEKDAY($B163,1)))</f>
        <v/>
      </c>
      <c r="K163" s="43" t="str">
        <f aca="false">IFERROR(IF($L163="","",TEXT(IF($L163&lt;1,HOUR($L163),INT($L163)),"00")&amp;":00"),"")</f>
        <v/>
      </c>
      <c r="L163" s="44"/>
      <c r="M163" s="45"/>
      <c r="N163" s="46"/>
      <c r="O163" s="45"/>
      <c r="P163" s="2"/>
      <c r="Q163" s="2"/>
      <c r="R163" s="2"/>
      <c r="S163" s="2"/>
      <c r="T163" s="2"/>
      <c r="U163" s="47" t="str">
        <f aca="false">IF($G163="","",IF($G163&lt;0,IF(N($U162)=0,1,$U162+1),0))</f>
        <v/>
      </c>
      <c r="V163" s="47" t="str">
        <f aca="false">IF($G163="","",IF($V162="",'Empieza aquí'!$D$8,$V162)+$G163)</f>
        <v/>
      </c>
      <c r="W163" s="47" t="str">
        <f aca="false">IF($V163="","",MAX(IF($W162="",'Empieza aquí'!$D$8,$W162),$V163))</f>
        <v/>
      </c>
      <c r="X163" s="47" t="str">
        <f aca="false">IF($V163="","",$V163-$W163)</f>
        <v/>
      </c>
      <c r="Y163" s="3"/>
      <c r="Z163" s="3"/>
      <c r="AA163" s="3"/>
      <c r="AB163" s="3"/>
      <c r="AC163" s="3"/>
      <c r="AD163" s="3"/>
      <c r="AE163" s="3"/>
      <c r="AF163" s="3"/>
      <c r="AG163" s="3"/>
      <c r="AH163" s="3"/>
    </row>
    <row r="164" customFormat="false" ht="15" hidden="false" customHeight="true" outlineLevel="0" collapsed="false">
      <c r="A164" s="2"/>
      <c r="B164" s="36"/>
      <c r="C164" s="37"/>
      <c r="D164" s="37"/>
      <c r="E164" s="38"/>
      <c r="F164" s="39"/>
      <c r="G164" s="40" t="str">
        <f aca="false">IF(OR($E164="",$C164="",$D164=""),"",$E164*$D164*IFERROR(INDEX(Listas!$C$6:$C$20,MATCH($C164,Listas!$B$6:$B$20,0)),0)-$D164*IFERROR(INDEX(Listas!$D$6:$D$20,MATCH($C164,Listas!$B$6:$B$20,0)),0))</f>
        <v/>
      </c>
      <c r="H164" s="41" t="str">
        <f aca="false">IF(OR($F164="",$C164="",$D164=""),"",ABS($F164)*$D164*IFERROR(INDEX(Listas!$C$6:$C$20,MATCH($C164,Listas!$B$6:$B$20,0)),0))</f>
        <v/>
      </c>
      <c r="I164" s="42" t="str">
        <f aca="false">IF(OR($E164="",$F164="",$F164=0),"",$E164/ABS($F164))</f>
        <v/>
      </c>
      <c r="J164" s="43" t="str">
        <f aca="false">IF($B164="","",INDEX(Listas!$G$6:$G$12,WEEKDAY($B164,1)))</f>
        <v/>
      </c>
      <c r="K164" s="43" t="str">
        <f aca="false">IFERROR(IF($L164="","",TEXT(IF($L164&lt;1,HOUR($L164),INT($L164)),"00")&amp;":00"),"")</f>
        <v/>
      </c>
      <c r="L164" s="44"/>
      <c r="M164" s="45"/>
      <c r="N164" s="46"/>
      <c r="O164" s="45"/>
      <c r="P164" s="2"/>
      <c r="Q164" s="2"/>
      <c r="R164" s="2"/>
      <c r="S164" s="2"/>
      <c r="T164" s="2"/>
      <c r="U164" s="47" t="str">
        <f aca="false">IF($G164="","",IF($G164&lt;0,IF(N($U163)=0,1,$U163+1),0))</f>
        <v/>
      </c>
      <c r="V164" s="47" t="str">
        <f aca="false">IF($G164="","",IF($V163="",'Empieza aquí'!$D$8,$V163)+$G164)</f>
        <v/>
      </c>
      <c r="W164" s="47" t="str">
        <f aca="false">IF($V164="","",MAX(IF($W163="",'Empieza aquí'!$D$8,$W163),$V164))</f>
        <v/>
      </c>
      <c r="X164" s="47" t="str">
        <f aca="false">IF($V164="","",$V164-$W164)</f>
        <v/>
      </c>
      <c r="Y164" s="3"/>
      <c r="Z164" s="3"/>
      <c r="AA164" s="3"/>
      <c r="AB164" s="3"/>
      <c r="AC164" s="3"/>
      <c r="AD164" s="3"/>
      <c r="AE164" s="3"/>
      <c r="AF164" s="3"/>
      <c r="AG164" s="3"/>
      <c r="AH164" s="3"/>
    </row>
    <row r="165" customFormat="false" ht="15" hidden="false" customHeight="true" outlineLevel="0" collapsed="false">
      <c r="A165" s="2"/>
      <c r="B165" s="36"/>
      <c r="C165" s="37"/>
      <c r="D165" s="37"/>
      <c r="E165" s="38"/>
      <c r="F165" s="39"/>
      <c r="G165" s="40" t="str">
        <f aca="false">IF(OR($E165="",$C165="",$D165=""),"",$E165*$D165*IFERROR(INDEX(Listas!$C$6:$C$20,MATCH($C165,Listas!$B$6:$B$20,0)),0)-$D165*IFERROR(INDEX(Listas!$D$6:$D$20,MATCH($C165,Listas!$B$6:$B$20,0)),0))</f>
        <v/>
      </c>
      <c r="H165" s="41" t="str">
        <f aca="false">IF(OR($F165="",$C165="",$D165=""),"",ABS($F165)*$D165*IFERROR(INDEX(Listas!$C$6:$C$20,MATCH($C165,Listas!$B$6:$B$20,0)),0))</f>
        <v/>
      </c>
      <c r="I165" s="42" t="str">
        <f aca="false">IF(OR($E165="",$F165="",$F165=0),"",$E165/ABS($F165))</f>
        <v/>
      </c>
      <c r="J165" s="43" t="str">
        <f aca="false">IF($B165="","",INDEX(Listas!$G$6:$G$12,WEEKDAY($B165,1)))</f>
        <v/>
      </c>
      <c r="K165" s="43" t="str">
        <f aca="false">IFERROR(IF($L165="","",TEXT(IF($L165&lt;1,HOUR($L165),INT($L165)),"00")&amp;":00"),"")</f>
        <v/>
      </c>
      <c r="L165" s="44"/>
      <c r="M165" s="45"/>
      <c r="N165" s="46"/>
      <c r="O165" s="45"/>
      <c r="P165" s="2"/>
      <c r="Q165" s="2"/>
      <c r="R165" s="2"/>
      <c r="S165" s="2"/>
      <c r="T165" s="2"/>
      <c r="U165" s="47" t="str">
        <f aca="false">IF($G165="","",IF($G165&lt;0,IF(N($U164)=0,1,$U164+1),0))</f>
        <v/>
      </c>
      <c r="V165" s="47" t="str">
        <f aca="false">IF($G165="","",IF($V164="",'Empieza aquí'!$D$8,$V164)+$G165)</f>
        <v/>
      </c>
      <c r="W165" s="47" t="str">
        <f aca="false">IF($V165="","",MAX(IF($W164="",'Empieza aquí'!$D$8,$W164),$V165))</f>
        <v/>
      </c>
      <c r="X165" s="47" t="str">
        <f aca="false">IF($V165="","",$V165-$W165)</f>
        <v/>
      </c>
      <c r="Y165" s="3"/>
      <c r="Z165" s="3"/>
      <c r="AA165" s="3"/>
      <c r="AB165" s="3"/>
      <c r="AC165" s="3"/>
      <c r="AD165" s="3"/>
      <c r="AE165" s="3"/>
      <c r="AF165" s="3"/>
      <c r="AG165" s="3"/>
      <c r="AH165" s="3"/>
    </row>
    <row r="166" customFormat="false" ht="15" hidden="false" customHeight="true" outlineLevel="0" collapsed="false">
      <c r="A166" s="2"/>
      <c r="B166" s="36"/>
      <c r="C166" s="37"/>
      <c r="D166" s="37"/>
      <c r="E166" s="38"/>
      <c r="F166" s="39"/>
      <c r="G166" s="40" t="str">
        <f aca="false">IF(OR($E166="",$C166="",$D166=""),"",$E166*$D166*IFERROR(INDEX(Listas!$C$6:$C$20,MATCH($C166,Listas!$B$6:$B$20,0)),0)-$D166*IFERROR(INDEX(Listas!$D$6:$D$20,MATCH($C166,Listas!$B$6:$B$20,0)),0))</f>
        <v/>
      </c>
      <c r="H166" s="41" t="str">
        <f aca="false">IF(OR($F166="",$C166="",$D166=""),"",ABS($F166)*$D166*IFERROR(INDEX(Listas!$C$6:$C$20,MATCH($C166,Listas!$B$6:$B$20,0)),0))</f>
        <v/>
      </c>
      <c r="I166" s="42" t="str">
        <f aca="false">IF(OR($E166="",$F166="",$F166=0),"",$E166/ABS($F166))</f>
        <v/>
      </c>
      <c r="J166" s="43" t="str">
        <f aca="false">IF($B166="","",INDEX(Listas!$G$6:$G$12,WEEKDAY($B166,1)))</f>
        <v/>
      </c>
      <c r="K166" s="43" t="str">
        <f aca="false">IFERROR(IF($L166="","",TEXT(IF($L166&lt;1,HOUR($L166),INT($L166)),"00")&amp;":00"),"")</f>
        <v/>
      </c>
      <c r="L166" s="44"/>
      <c r="M166" s="45"/>
      <c r="N166" s="46"/>
      <c r="O166" s="45"/>
      <c r="P166" s="2"/>
      <c r="Q166" s="2"/>
      <c r="R166" s="2"/>
      <c r="S166" s="2"/>
      <c r="T166" s="2"/>
      <c r="U166" s="47" t="str">
        <f aca="false">IF($G166="","",IF($G166&lt;0,IF(N($U165)=0,1,$U165+1),0))</f>
        <v/>
      </c>
      <c r="V166" s="47" t="str">
        <f aca="false">IF($G166="","",IF($V165="",'Empieza aquí'!$D$8,$V165)+$G166)</f>
        <v/>
      </c>
      <c r="W166" s="47" t="str">
        <f aca="false">IF($V166="","",MAX(IF($W165="",'Empieza aquí'!$D$8,$W165),$V166))</f>
        <v/>
      </c>
      <c r="X166" s="47" t="str">
        <f aca="false">IF($V166="","",$V166-$W166)</f>
        <v/>
      </c>
      <c r="Y166" s="3"/>
      <c r="Z166" s="3"/>
      <c r="AA166" s="3"/>
      <c r="AB166" s="3"/>
      <c r="AC166" s="3"/>
      <c r="AD166" s="3"/>
      <c r="AE166" s="3"/>
      <c r="AF166" s="3"/>
      <c r="AG166" s="3"/>
      <c r="AH166" s="3"/>
    </row>
    <row r="167" customFormat="false" ht="15" hidden="false" customHeight="true" outlineLevel="0" collapsed="false">
      <c r="A167" s="2"/>
      <c r="B167" s="36"/>
      <c r="C167" s="37"/>
      <c r="D167" s="37"/>
      <c r="E167" s="38"/>
      <c r="F167" s="39"/>
      <c r="G167" s="40" t="str">
        <f aca="false">IF(OR($E167="",$C167="",$D167=""),"",$E167*$D167*IFERROR(INDEX(Listas!$C$6:$C$20,MATCH($C167,Listas!$B$6:$B$20,0)),0)-$D167*IFERROR(INDEX(Listas!$D$6:$D$20,MATCH($C167,Listas!$B$6:$B$20,0)),0))</f>
        <v/>
      </c>
      <c r="H167" s="41" t="str">
        <f aca="false">IF(OR($F167="",$C167="",$D167=""),"",ABS($F167)*$D167*IFERROR(INDEX(Listas!$C$6:$C$20,MATCH($C167,Listas!$B$6:$B$20,0)),0))</f>
        <v/>
      </c>
      <c r="I167" s="42" t="str">
        <f aca="false">IF(OR($E167="",$F167="",$F167=0),"",$E167/ABS($F167))</f>
        <v/>
      </c>
      <c r="J167" s="43" t="str">
        <f aca="false">IF($B167="","",INDEX(Listas!$G$6:$G$12,WEEKDAY($B167,1)))</f>
        <v/>
      </c>
      <c r="K167" s="43" t="str">
        <f aca="false">IFERROR(IF($L167="","",TEXT(IF($L167&lt;1,HOUR($L167),INT($L167)),"00")&amp;":00"),"")</f>
        <v/>
      </c>
      <c r="L167" s="44"/>
      <c r="M167" s="45"/>
      <c r="N167" s="46"/>
      <c r="O167" s="45"/>
      <c r="P167" s="2"/>
      <c r="Q167" s="2"/>
      <c r="R167" s="2"/>
      <c r="S167" s="2"/>
      <c r="T167" s="2"/>
      <c r="U167" s="47" t="str">
        <f aca="false">IF($G167="","",IF($G167&lt;0,IF(N($U166)=0,1,$U166+1),0))</f>
        <v/>
      </c>
      <c r="V167" s="47" t="str">
        <f aca="false">IF($G167="","",IF($V166="",'Empieza aquí'!$D$8,$V166)+$G167)</f>
        <v/>
      </c>
      <c r="W167" s="47" t="str">
        <f aca="false">IF($V167="","",MAX(IF($W166="",'Empieza aquí'!$D$8,$W166),$V167))</f>
        <v/>
      </c>
      <c r="X167" s="47" t="str">
        <f aca="false">IF($V167="","",$V167-$W167)</f>
        <v/>
      </c>
      <c r="Y167" s="3"/>
      <c r="Z167" s="3"/>
      <c r="AA167" s="3"/>
      <c r="AB167" s="3"/>
      <c r="AC167" s="3"/>
      <c r="AD167" s="3"/>
      <c r="AE167" s="3"/>
      <c r="AF167" s="3"/>
      <c r="AG167" s="3"/>
      <c r="AH167" s="3"/>
    </row>
    <row r="168" customFormat="false" ht="15" hidden="false" customHeight="true" outlineLevel="0" collapsed="false">
      <c r="A168" s="2"/>
      <c r="B168" s="36"/>
      <c r="C168" s="37"/>
      <c r="D168" s="37"/>
      <c r="E168" s="38"/>
      <c r="F168" s="39"/>
      <c r="G168" s="40" t="str">
        <f aca="false">IF(OR($E168="",$C168="",$D168=""),"",$E168*$D168*IFERROR(INDEX(Listas!$C$6:$C$20,MATCH($C168,Listas!$B$6:$B$20,0)),0)-$D168*IFERROR(INDEX(Listas!$D$6:$D$20,MATCH($C168,Listas!$B$6:$B$20,0)),0))</f>
        <v/>
      </c>
      <c r="H168" s="41" t="str">
        <f aca="false">IF(OR($F168="",$C168="",$D168=""),"",ABS($F168)*$D168*IFERROR(INDEX(Listas!$C$6:$C$20,MATCH($C168,Listas!$B$6:$B$20,0)),0))</f>
        <v/>
      </c>
      <c r="I168" s="42" t="str">
        <f aca="false">IF(OR($E168="",$F168="",$F168=0),"",$E168/ABS($F168))</f>
        <v/>
      </c>
      <c r="J168" s="43" t="str">
        <f aca="false">IF($B168="","",INDEX(Listas!$G$6:$G$12,WEEKDAY($B168,1)))</f>
        <v/>
      </c>
      <c r="K168" s="43" t="str">
        <f aca="false">IFERROR(IF($L168="","",TEXT(IF($L168&lt;1,HOUR($L168),INT($L168)),"00")&amp;":00"),"")</f>
        <v/>
      </c>
      <c r="L168" s="44"/>
      <c r="M168" s="45"/>
      <c r="N168" s="46"/>
      <c r="O168" s="45"/>
      <c r="P168" s="2"/>
      <c r="Q168" s="2"/>
      <c r="R168" s="2"/>
      <c r="S168" s="2"/>
      <c r="T168" s="2"/>
      <c r="U168" s="47" t="str">
        <f aca="false">IF($G168="","",IF($G168&lt;0,IF(N($U167)=0,1,$U167+1),0))</f>
        <v/>
      </c>
      <c r="V168" s="47" t="str">
        <f aca="false">IF($G168="","",IF($V167="",'Empieza aquí'!$D$8,$V167)+$G168)</f>
        <v/>
      </c>
      <c r="W168" s="47" t="str">
        <f aca="false">IF($V168="","",MAX(IF($W167="",'Empieza aquí'!$D$8,$W167),$V168))</f>
        <v/>
      </c>
      <c r="X168" s="47" t="str">
        <f aca="false">IF($V168="","",$V168-$W168)</f>
        <v/>
      </c>
      <c r="Y168" s="3"/>
      <c r="Z168" s="3"/>
      <c r="AA168" s="3"/>
      <c r="AB168" s="3"/>
      <c r="AC168" s="3"/>
      <c r="AD168" s="3"/>
      <c r="AE168" s="3"/>
      <c r="AF168" s="3"/>
      <c r="AG168" s="3"/>
      <c r="AH168" s="3"/>
    </row>
    <row r="169" customFormat="false" ht="15" hidden="false" customHeight="true" outlineLevel="0" collapsed="false">
      <c r="A169" s="2"/>
      <c r="B169" s="36"/>
      <c r="C169" s="37"/>
      <c r="D169" s="37"/>
      <c r="E169" s="38"/>
      <c r="F169" s="39"/>
      <c r="G169" s="40" t="str">
        <f aca="false">IF(OR($E169="",$C169="",$D169=""),"",$E169*$D169*IFERROR(INDEX(Listas!$C$6:$C$20,MATCH($C169,Listas!$B$6:$B$20,0)),0)-$D169*IFERROR(INDEX(Listas!$D$6:$D$20,MATCH($C169,Listas!$B$6:$B$20,0)),0))</f>
        <v/>
      </c>
      <c r="H169" s="41" t="str">
        <f aca="false">IF(OR($F169="",$C169="",$D169=""),"",ABS($F169)*$D169*IFERROR(INDEX(Listas!$C$6:$C$20,MATCH($C169,Listas!$B$6:$B$20,0)),0))</f>
        <v/>
      </c>
      <c r="I169" s="42" t="str">
        <f aca="false">IF(OR($E169="",$F169="",$F169=0),"",$E169/ABS($F169))</f>
        <v/>
      </c>
      <c r="J169" s="43" t="str">
        <f aca="false">IF($B169="","",INDEX(Listas!$G$6:$G$12,WEEKDAY($B169,1)))</f>
        <v/>
      </c>
      <c r="K169" s="43" t="str">
        <f aca="false">IFERROR(IF($L169="","",TEXT(IF($L169&lt;1,HOUR($L169),INT($L169)),"00")&amp;":00"),"")</f>
        <v/>
      </c>
      <c r="L169" s="44"/>
      <c r="M169" s="45"/>
      <c r="N169" s="46"/>
      <c r="O169" s="45"/>
      <c r="P169" s="2"/>
      <c r="Q169" s="2"/>
      <c r="R169" s="2"/>
      <c r="S169" s="2"/>
      <c r="T169" s="2"/>
      <c r="U169" s="47" t="str">
        <f aca="false">IF($G169="","",IF($G169&lt;0,IF(N($U168)=0,1,$U168+1),0))</f>
        <v/>
      </c>
      <c r="V169" s="47" t="str">
        <f aca="false">IF($G169="","",IF($V168="",'Empieza aquí'!$D$8,$V168)+$G169)</f>
        <v/>
      </c>
      <c r="W169" s="47" t="str">
        <f aca="false">IF($V169="","",MAX(IF($W168="",'Empieza aquí'!$D$8,$W168),$V169))</f>
        <v/>
      </c>
      <c r="X169" s="47" t="str">
        <f aca="false">IF($V169="","",$V169-$W169)</f>
        <v/>
      </c>
      <c r="Y169" s="3"/>
      <c r="Z169" s="3"/>
      <c r="AA169" s="3"/>
      <c r="AB169" s="3"/>
      <c r="AC169" s="3"/>
      <c r="AD169" s="3"/>
      <c r="AE169" s="3"/>
      <c r="AF169" s="3"/>
      <c r="AG169" s="3"/>
      <c r="AH169" s="3"/>
    </row>
    <row r="170" customFormat="false" ht="15" hidden="false" customHeight="true" outlineLevel="0" collapsed="false">
      <c r="A170" s="2"/>
      <c r="B170" s="36"/>
      <c r="C170" s="37"/>
      <c r="D170" s="37"/>
      <c r="E170" s="38"/>
      <c r="F170" s="39"/>
      <c r="G170" s="40" t="str">
        <f aca="false">IF(OR($E170="",$C170="",$D170=""),"",$E170*$D170*IFERROR(INDEX(Listas!$C$6:$C$20,MATCH($C170,Listas!$B$6:$B$20,0)),0)-$D170*IFERROR(INDEX(Listas!$D$6:$D$20,MATCH($C170,Listas!$B$6:$B$20,0)),0))</f>
        <v/>
      </c>
      <c r="H170" s="41" t="str">
        <f aca="false">IF(OR($F170="",$C170="",$D170=""),"",ABS($F170)*$D170*IFERROR(INDEX(Listas!$C$6:$C$20,MATCH($C170,Listas!$B$6:$B$20,0)),0))</f>
        <v/>
      </c>
      <c r="I170" s="42" t="str">
        <f aca="false">IF(OR($E170="",$F170="",$F170=0),"",$E170/ABS($F170))</f>
        <v/>
      </c>
      <c r="J170" s="43" t="str">
        <f aca="false">IF($B170="","",INDEX(Listas!$G$6:$G$12,WEEKDAY($B170,1)))</f>
        <v/>
      </c>
      <c r="K170" s="43" t="str">
        <f aca="false">IFERROR(IF($L170="","",TEXT(IF($L170&lt;1,HOUR($L170),INT($L170)),"00")&amp;":00"),"")</f>
        <v/>
      </c>
      <c r="L170" s="44"/>
      <c r="M170" s="45"/>
      <c r="N170" s="46"/>
      <c r="O170" s="45"/>
      <c r="P170" s="2"/>
      <c r="Q170" s="2"/>
      <c r="R170" s="2"/>
      <c r="S170" s="2"/>
      <c r="T170" s="2"/>
      <c r="U170" s="47" t="str">
        <f aca="false">IF($G170="","",IF($G170&lt;0,IF(N($U169)=0,1,$U169+1),0))</f>
        <v/>
      </c>
      <c r="V170" s="47" t="str">
        <f aca="false">IF($G170="","",IF($V169="",'Empieza aquí'!$D$8,$V169)+$G170)</f>
        <v/>
      </c>
      <c r="W170" s="47" t="str">
        <f aca="false">IF($V170="","",MAX(IF($W169="",'Empieza aquí'!$D$8,$W169),$V170))</f>
        <v/>
      </c>
      <c r="X170" s="47" t="str">
        <f aca="false">IF($V170="","",$V170-$W170)</f>
        <v/>
      </c>
      <c r="Y170" s="3"/>
      <c r="Z170" s="3"/>
      <c r="AA170" s="3"/>
      <c r="AB170" s="3"/>
      <c r="AC170" s="3"/>
      <c r="AD170" s="3"/>
      <c r="AE170" s="3"/>
      <c r="AF170" s="3"/>
      <c r="AG170" s="3"/>
      <c r="AH170" s="3"/>
    </row>
    <row r="171" customFormat="false" ht="15" hidden="false" customHeight="true" outlineLevel="0" collapsed="false">
      <c r="A171" s="2"/>
      <c r="B171" s="36"/>
      <c r="C171" s="37"/>
      <c r="D171" s="37"/>
      <c r="E171" s="38"/>
      <c r="F171" s="39"/>
      <c r="G171" s="40" t="str">
        <f aca="false">IF(OR($E171="",$C171="",$D171=""),"",$E171*$D171*IFERROR(INDEX(Listas!$C$6:$C$20,MATCH($C171,Listas!$B$6:$B$20,0)),0)-$D171*IFERROR(INDEX(Listas!$D$6:$D$20,MATCH($C171,Listas!$B$6:$B$20,0)),0))</f>
        <v/>
      </c>
      <c r="H171" s="41" t="str">
        <f aca="false">IF(OR($F171="",$C171="",$D171=""),"",ABS($F171)*$D171*IFERROR(INDEX(Listas!$C$6:$C$20,MATCH($C171,Listas!$B$6:$B$20,0)),0))</f>
        <v/>
      </c>
      <c r="I171" s="42" t="str">
        <f aca="false">IF(OR($E171="",$F171="",$F171=0),"",$E171/ABS($F171))</f>
        <v/>
      </c>
      <c r="J171" s="43" t="str">
        <f aca="false">IF($B171="","",INDEX(Listas!$G$6:$G$12,WEEKDAY($B171,1)))</f>
        <v/>
      </c>
      <c r="K171" s="43" t="str">
        <f aca="false">IFERROR(IF($L171="","",TEXT(IF($L171&lt;1,HOUR($L171),INT($L171)),"00")&amp;":00"),"")</f>
        <v/>
      </c>
      <c r="L171" s="44"/>
      <c r="M171" s="45"/>
      <c r="N171" s="46"/>
      <c r="O171" s="45"/>
      <c r="P171" s="2"/>
      <c r="Q171" s="2"/>
      <c r="R171" s="2"/>
      <c r="S171" s="2"/>
      <c r="T171" s="2"/>
      <c r="U171" s="47" t="str">
        <f aca="false">IF($G171="","",IF($G171&lt;0,IF(N($U170)=0,1,$U170+1),0))</f>
        <v/>
      </c>
      <c r="V171" s="47" t="str">
        <f aca="false">IF($G171="","",IF($V170="",'Empieza aquí'!$D$8,$V170)+$G171)</f>
        <v/>
      </c>
      <c r="W171" s="47" t="str">
        <f aca="false">IF($V171="","",MAX(IF($W170="",'Empieza aquí'!$D$8,$W170),$V171))</f>
        <v/>
      </c>
      <c r="X171" s="47" t="str">
        <f aca="false">IF($V171="","",$V171-$W171)</f>
        <v/>
      </c>
      <c r="Y171" s="3"/>
      <c r="Z171" s="3"/>
      <c r="AA171" s="3"/>
      <c r="AB171" s="3"/>
      <c r="AC171" s="3"/>
      <c r="AD171" s="3"/>
      <c r="AE171" s="3"/>
      <c r="AF171" s="3"/>
      <c r="AG171" s="3"/>
      <c r="AH171" s="3"/>
    </row>
    <row r="172" customFormat="false" ht="15" hidden="false" customHeight="true" outlineLevel="0" collapsed="false">
      <c r="A172" s="2"/>
      <c r="B172" s="36"/>
      <c r="C172" s="37"/>
      <c r="D172" s="37"/>
      <c r="E172" s="38"/>
      <c r="F172" s="39"/>
      <c r="G172" s="40" t="str">
        <f aca="false">IF(OR($E172="",$C172="",$D172=""),"",$E172*$D172*IFERROR(INDEX(Listas!$C$6:$C$20,MATCH($C172,Listas!$B$6:$B$20,0)),0)-$D172*IFERROR(INDEX(Listas!$D$6:$D$20,MATCH($C172,Listas!$B$6:$B$20,0)),0))</f>
        <v/>
      </c>
      <c r="H172" s="41" t="str">
        <f aca="false">IF(OR($F172="",$C172="",$D172=""),"",ABS($F172)*$D172*IFERROR(INDEX(Listas!$C$6:$C$20,MATCH($C172,Listas!$B$6:$B$20,0)),0))</f>
        <v/>
      </c>
      <c r="I172" s="42" t="str">
        <f aca="false">IF(OR($E172="",$F172="",$F172=0),"",$E172/ABS($F172))</f>
        <v/>
      </c>
      <c r="J172" s="43" t="str">
        <f aca="false">IF($B172="","",INDEX(Listas!$G$6:$G$12,WEEKDAY($B172,1)))</f>
        <v/>
      </c>
      <c r="K172" s="43" t="str">
        <f aca="false">IFERROR(IF($L172="","",TEXT(IF($L172&lt;1,HOUR($L172),INT($L172)),"00")&amp;":00"),"")</f>
        <v/>
      </c>
      <c r="L172" s="44"/>
      <c r="M172" s="45"/>
      <c r="N172" s="46"/>
      <c r="O172" s="45"/>
      <c r="P172" s="2"/>
      <c r="Q172" s="2"/>
      <c r="R172" s="2"/>
      <c r="S172" s="2"/>
      <c r="T172" s="2"/>
      <c r="U172" s="47" t="str">
        <f aca="false">IF($G172="","",IF($G172&lt;0,IF(N($U171)=0,1,$U171+1),0))</f>
        <v/>
      </c>
      <c r="V172" s="47" t="str">
        <f aca="false">IF($G172="","",IF($V171="",'Empieza aquí'!$D$8,$V171)+$G172)</f>
        <v/>
      </c>
      <c r="W172" s="47" t="str">
        <f aca="false">IF($V172="","",MAX(IF($W171="",'Empieza aquí'!$D$8,$W171),$V172))</f>
        <v/>
      </c>
      <c r="X172" s="47" t="str">
        <f aca="false">IF($V172="","",$V172-$W172)</f>
        <v/>
      </c>
      <c r="Y172" s="3"/>
      <c r="Z172" s="3"/>
      <c r="AA172" s="3"/>
      <c r="AB172" s="3"/>
      <c r="AC172" s="3"/>
      <c r="AD172" s="3"/>
      <c r="AE172" s="3"/>
      <c r="AF172" s="3"/>
      <c r="AG172" s="3"/>
      <c r="AH172" s="3"/>
    </row>
    <row r="173" customFormat="false" ht="15" hidden="false" customHeight="true" outlineLevel="0" collapsed="false">
      <c r="A173" s="2"/>
      <c r="B173" s="36"/>
      <c r="C173" s="37"/>
      <c r="D173" s="37"/>
      <c r="E173" s="38"/>
      <c r="F173" s="39"/>
      <c r="G173" s="40" t="str">
        <f aca="false">IF(OR($E173="",$C173="",$D173=""),"",$E173*$D173*IFERROR(INDEX(Listas!$C$6:$C$20,MATCH($C173,Listas!$B$6:$B$20,0)),0)-$D173*IFERROR(INDEX(Listas!$D$6:$D$20,MATCH($C173,Listas!$B$6:$B$20,0)),0))</f>
        <v/>
      </c>
      <c r="H173" s="41" t="str">
        <f aca="false">IF(OR($F173="",$C173="",$D173=""),"",ABS($F173)*$D173*IFERROR(INDEX(Listas!$C$6:$C$20,MATCH($C173,Listas!$B$6:$B$20,0)),0))</f>
        <v/>
      </c>
      <c r="I173" s="42" t="str">
        <f aca="false">IF(OR($E173="",$F173="",$F173=0),"",$E173/ABS($F173))</f>
        <v/>
      </c>
      <c r="J173" s="43" t="str">
        <f aca="false">IF($B173="","",INDEX(Listas!$G$6:$G$12,WEEKDAY($B173,1)))</f>
        <v/>
      </c>
      <c r="K173" s="43" t="str">
        <f aca="false">IFERROR(IF($L173="","",TEXT(IF($L173&lt;1,HOUR($L173),INT($L173)),"00")&amp;":00"),"")</f>
        <v/>
      </c>
      <c r="L173" s="44"/>
      <c r="M173" s="45"/>
      <c r="N173" s="46"/>
      <c r="O173" s="45"/>
      <c r="P173" s="2"/>
      <c r="Q173" s="2"/>
      <c r="R173" s="2"/>
      <c r="S173" s="2"/>
      <c r="T173" s="2"/>
      <c r="U173" s="47" t="str">
        <f aca="false">IF($G173="","",IF($G173&lt;0,IF(N($U172)=0,1,$U172+1),0))</f>
        <v/>
      </c>
      <c r="V173" s="47" t="str">
        <f aca="false">IF($G173="","",IF($V172="",'Empieza aquí'!$D$8,$V172)+$G173)</f>
        <v/>
      </c>
      <c r="W173" s="47" t="str">
        <f aca="false">IF($V173="","",MAX(IF($W172="",'Empieza aquí'!$D$8,$W172),$V173))</f>
        <v/>
      </c>
      <c r="X173" s="47" t="str">
        <f aca="false">IF($V173="","",$V173-$W173)</f>
        <v/>
      </c>
      <c r="Y173" s="3"/>
      <c r="Z173" s="3"/>
      <c r="AA173" s="3"/>
      <c r="AB173" s="3"/>
      <c r="AC173" s="3"/>
      <c r="AD173" s="3"/>
      <c r="AE173" s="3"/>
      <c r="AF173" s="3"/>
      <c r="AG173" s="3"/>
      <c r="AH173" s="3"/>
    </row>
    <row r="174" customFormat="false" ht="15" hidden="false" customHeight="true" outlineLevel="0" collapsed="false">
      <c r="A174" s="2"/>
      <c r="B174" s="36"/>
      <c r="C174" s="37"/>
      <c r="D174" s="37"/>
      <c r="E174" s="38"/>
      <c r="F174" s="39"/>
      <c r="G174" s="40" t="str">
        <f aca="false">IF(OR($E174="",$C174="",$D174=""),"",$E174*$D174*IFERROR(INDEX(Listas!$C$6:$C$20,MATCH($C174,Listas!$B$6:$B$20,0)),0)-$D174*IFERROR(INDEX(Listas!$D$6:$D$20,MATCH($C174,Listas!$B$6:$B$20,0)),0))</f>
        <v/>
      </c>
      <c r="H174" s="41" t="str">
        <f aca="false">IF(OR($F174="",$C174="",$D174=""),"",ABS($F174)*$D174*IFERROR(INDEX(Listas!$C$6:$C$20,MATCH($C174,Listas!$B$6:$B$20,0)),0))</f>
        <v/>
      </c>
      <c r="I174" s="42" t="str">
        <f aca="false">IF(OR($E174="",$F174="",$F174=0),"",$E174/ABS($F174))</f>
        <v/>
      </c>
      <c r="J174" s="43" t="str">
        <f aca="false">IF($B174="","",INDEX(Listas!$G$6:$G$12,WEEKDAY($B174,1)))</f>
        <v/>
      </c>
      <c r="K174" s="43" t="str">
        <f aca="false">IFERROR(IF($L174="","",TEXT(IF($L174&lt;1,HOUR($L174),INT($L174)),"00")&amp;":00"),"")</f>
        <v/>
      </c>
      <c r="L174" s="44"/>
      <c r="M174" s="45"/>
      <c r="N174" s="46"/>
      <c r="O174" s="45"/>
      <c r="P174" s="2"/>
      <c r="Q174" s="2"/>
      <c r="R174" s="2"/>
      <c r="S174" s="2"/>
      <c r="T174" s="2"/>
      <c r="U174" s="47" t="str">
        <f aca="false">IF($G174="","",IF($G174&lt;0,IF(N($U173)=0,1,$U173+1),0))</f>
        <v/>
      </c>
      <c r="V174" s="47" t="str">
        <f aca="false">IF($G174="","",IF($V173="",'Empieza aquí'!$D$8,$V173)+$G174)</f>
        <v/>
      </c>
      <c r="W174" s="47" t="str">
        <f aca="false">IF($V174="","",MAX(IF($W173="",'Empieza aquí'!$D$8,$W173),$V174))</f>
        <v/>
      </c>
      <c r="X174" s="47" t="str">
        <f aca="false">IF($V174="","",$V174-$W174)</f>
        <v/>
      </c>
      <c r="Y174" s="3"/>
      <c r="Z174" s="3"/>
      <c r="AA174" s="3"/>
      <c r="AB174" s="3"/>
      <c r="AC174" s="3"/>
      <c r="AD174" s="3"/>
      <c r="AE174" s="3"/>
      <c r="AF174" s="3"/>
      <c r="AG174" s="3"/>
      <c r="AH174" s="3"/>
    </row>
    <row r="175" customFormat="false" ht="15" hidden="false" customHeight="true" outlineLevel="0" collapsed="false">
      <c r="A175" s="2"/>
      <c r="B175" s="36"/>
      <c r="C175" s="37"/>
      <c r="D175" s="37"/>
      <c r="E175" s="38"/>
      <c r="F175" s="39"/>
      <c r="G175" s="40" t="str">
        <f aca="false">IF(OR($E175="",$C175="",$D175=""),"",$E175*$D175*IFERROR(INDEX(Listas!$C$6:$C$20,MATCH($C175,Listas!$B$6:$B$20,0)),0)-$D175*IFERROR(INDEX(Listas!$D$6:$D$20,MATCH($C175,Listas!$B$6:$B$20,0)),0))</f>
        <v/>
      </c>
      <c r="H175" s="41" t="str">
        <f aca="false">IF(OR($F175="",$C175="",$D175=""),"",ABS($F175)*$D175*IFERROR(INDEX(Listas!$C$6:$C$20,MATCH($C175,Listas!$B$6:$B$20,0)),0))</f>
        <v/>
      </c>
      <c r="I175" s="42" t="str">
        <f aca="false">IF(OR($E175="",$F175="",$F175=0),"",$E175/ABS($F175))</f>
        <v/>
      </c>
      <c r="J175" s="43" t="str">
        <f aca="false">IF($B175="","",INDEX(Listas!$G$6:$G$12,WEEKDAY($B175,1)))</f>
        <v/>
      </c>
      <c r="K175" s="43" t="str">
        <f aca="false">IFERROR(IF($L175="","",TEXT(IF($L175&lt;1,HOUR($L175),INT($L175)),"00")&amp;":00"),"")</f>
        <v/>
      </c>
      <c r="L175" s="44"/>
      <c r="M175" s="45"/>
      <c r="N175" s="46"/>
      <c r="O175" s="45"/>
      <c r="P175" s="2"/>
      <c r="Q175" s="2"/>
      <c r="R175" s="2"/>
      <c r="S175" s="2"/>
      <c r="T175" s="2"/>
      <c r="U175" s="47" t="str">
        <f aca="false">IF($G175="","",IF($G175&lt;0,IF(N($U174)=0,1,$U174+1),0))</f>
        <v/>
      </c>
      <c r="V175" s="47" t="str">
        <f aca="false">IF($G175="","",IF($V174="",'Empieza aquí'!$D$8,$V174)+$G175)</f>
        <v/>
      </c>
      <c r="W175" s="47" t="str">
        <f aca="false">IF($V175="","",MAX(IF($W174="",'Empieza aquí'!$D$8,$W174),$V175))</f>
        <v/>
      </c>
      <c r="X175" s="47" t="str">
        <f aca="false">IF($V175="","",$V175-$W175)</f>
        <v/>
      </c>
      <c r="Y175" s="3"/>
      <c r="Z175" s="3"/>
      <c r="AA175" s="3"/>
      <c r="AB175" s="3"/>
      <c r="AC175" s="3"/>
      <c r="AD175" s="3"/>
      <c r="AE175" s="3"/>
      <c r="AF175" s="3"/>
      <c r="AG175" s="3"/>
      <c r="AH175" s="3"/>
    </row>
    <row r="176" customFormat="false" ht="15" hidden="false" customHeight="true" outlineLevel="0" collapsed="false">
      <c r="A176" s="2"/>
      <c r="B176" s="36"/>
      <c r="C176" s="37"/>
      <c r="D176" s="37"/>
      <c r="E176" s="38"/>
      <c r="F176" s="39"/>
      <c r="G176" s="40" t="str">
        <f aca="false">IF(OR($E176="",$C176="",$D176=""),"",$E176*$D176*IFERROR(INDEX(Listas!$C$6:$C$20,MATCH($C176,Listas!$B$6:$B$20,0)),0)-$D176*IFERROR(INDEX(Listas!$D$6:$D$20,MATCH($C176,Listas!$B$6:$B$20,0)),0))</f>
        <v/>
      </c>
      <c r="H176" s="41" t="str">
        <f aca="false">IF(OR($F176="",$C176="",$D176=""),"",ABS($F176)*$D176*IFERROR(INDEX(Listas!$C$6:$C$20,MATCH($C176,Listas!$B$6:$B$20,0)),0))</f>
        <v/>
      </c>
      <c r="I176" s="42" t="str">
        <f aca="false">IF(OR($E176="",$F176="",$F176=0),"",$E176/ABS($F176))</f>
        <v/>
      </c>
      <c r="J176" s="43" t="str">
        <f aca="false">IF($B176="","",INDEX(Listas!$G$6:$G$12,WEEKDAY($B176,1)))</f>
        <v/>
      </c>
      <c r="K176" s="43" t="str">
        <f aca="false">IFERROR(IF($L176="","",TEXT(IF($L176&lt;1,HOUR($L176),INT($L176)),"00")&amp;":00"),"")</f>
        <v/>
      </c>
      <c r="L176" s="44"/>
      <c r="M176" s="45"/>
      <c r="N176" s="46"/>
      <c r="O176" s="45"/>
      <c r="P176" s="2"/>
      <c r="Q176" s="2"/>
      <c r="R176" s="2"/>
      <c r="S176" s="2"/>
      <c r="T176" s="2"/>
      <c r="U176" s="47" t="str">
        <f aca="false">IF($G176="","",IF($G176&lt;0,IF(N($U175)=0,1,$U175+1),0))</f>
        <v/>
      </c>
      <c r="V176" s="47" t="str">
        <f aca="false">IF($G176="","",IF($V175="",'Empieza aquí'!$D$8,$V175)+$G176)</f>
        <v/>
      </c>
      <c r="W176" s="47" t="str">
        <f aca="false">IF($V176="","",MAX(IF($W175="",'Empieza aquí'!$D$8,$W175),$V176))</f>
        <v/>
      </c>
      <c r="X176" s="47" t="str">
        <f aca="false">IF($V176="","",$V176-$W176)</f>
        <v/>
      </c>
      <c r="Y176" s="3"/>
      <c r="Z176" s="3"/>
      <c r="AA176" s="3"/>
      <c r="AB176" s="3"/>
      <c r="AC176" s="3"/>
      <c r="AD176" s="3"/>
      <c r="AE176" s="3"/>
      <c r="AF176" s="3"/>
      <c r="AG176" s="3"/>
      <c r="AH176" s="3"/>
    </row>
    <row r="177" customFormat="false" ht="15" hidden="false" customHeight="true" outlineLevel="0" collapsed="false">
      <c r="A177" s="2"/>
      <c r="B177" s="36"/>
      <c r="C177" s="37"/>
      <c r="D177" s="37"/>
      <c r="E177" s="38"/>
      <c r="F177" s="39"/>
      <c r="G177" s="40" t="str">
        <f aca="false">IF(OR($E177="",$C177="",$D177=""),"",$E177*$D177*IFERROR(INDEX(Listas!$C$6:$C$20,MATCH($C177,Listas!$B$6:$B$20,0)),0)-$D177*IFERROR(INDEX(Listas!$D$6:$D$20,MATCH($C177,Listas!$B$6:$B$20,0)),0))</f>
        <v/>
      </c>
      <c r="H177" s="41" t="str">
        <f aca="false">IF(OR($F177="",$C177="",$D177=""),"",ABS($F177)*$D177*IFERROR(INDEX(Listas!$C$6:$C$20,MATCH($C177,Listas!$B$6:$B$20,0)),0))</f>
        <v/>
      </c>
      <c r="I177" s="42" t="str">
        <f aca="false">IF(OR($E177="",$F177="",$F177=0),"",$E177/ABS($F177))</f>
        <v/>
      </c>
      <c r="J177" s="43" t="str">
        <f aca="false">IF($B177="","",INDEX(Listas!$G$6:$G$12,WEEKDAY($B177,1)))</f>
        <v/>
      </c>
      <c r="K177" s="43" t="str">
        <f aca="false">IFERROR(IF($L177="","",TEXT(IF($L177&lt;1,HOUR($L177),INT($L177)),"00")&amp;":00"),"")</f>
        <v/>
      </c>
      <c r="L177" s="44"/>
      <c r="M177" s="45"/>
      <c r="N177" s="46"/>
      <c r="O177" s="45"/>
      <c r="P177" s="2"/>
      <c r="Q177" s="2"/>
      <c r="R177" s="2"/>
      <c r="S177" s="2"/>
      <c r="T177" s="2"/>
      <c r="U177" s="47" t="str">
        <f aca="false">IF($G177="","",IF($G177&lt;0,IF(N($U176)=0,1,$U176+1),0))</f>
        <v/>
      </c>
      <c r="V177" s="47" t="str">
        <f aca="false">IF($G177="","",IF($V176="",'Empieza aquí'!$D$8,$V176)+$G177)</f>
        <v/>
      </c>
      <c r="W177" s="47" t="str">
        <f aca="false">IF($V177="","",MAX(IF($W176="",'Empieza aquí'!$D$8,$W176),$V177))</f>
        <v/>
      </c>
      <c r="X177" s="47" t="str">
        <f aca="false">IF($V177="","",$V177-$W177)</f>
        <v/>
      </c>
      <c r="Y177" s="3"/>
      <c r="Z177" s="3"/>
      <c r="AA177" s="3"/>
      <c r="AB177" s="3"/>
      <c r="AC177" s="3"/>
      <c r="AD177" s="3"/>
      <c r="AE177" s="3"/>
      <c r="AF177" s="3"/>
      <c r="AG177" s="3"/>
      <c r="AH177" s="3"/>
    </row>
    <row r="178" customFormat="false" ht="15" hidden="false" customHeight="true" outlineLevel="0" collapsed="false">
      <c r="A178" s="2"/>
      <c r="B178" s="36"/>
      <c r="C178" s="37"/>
      <c r="D178" s="37"/>
      <c r="E178" s="38"/>
      <c r="F178" s="39"/>
      <c r="G178" s="40" t="str">
        <f aca="false">IF(OR($E178="",$C178="",$D178=""),"",$E178*$D178*IFERROR(INDEX(Listas!$C$6:$C$20,MATCH($C178,Listas!$B$6:$B$20,0)),0)-$D178*IFERROR(INDEX(Listas!$D$6:$D$20,MATCH($C178,Listas!$B$6:$B$20,0)),0))</f>
        <v/>
      </c>
      <c r="H178" s="41" t="str">
        <f aca="false">IF(OR($F178="",$C178="",$D178=""),"",ABS($F178)*$D178*IFERROR(INDEX(Listas!$C$6:$C$20,MATCH($C178,Listas!$B$6:$B$20,0)),0))</f>
        <v/>
      </c>
      <c r="I178" s="42" t="str">
        <f aca="false">IF(OR($E178="",$F178="",$F178=0),"",$E178/ABS($F178))</f>
        <v/>
      </c>
      <c r="J178" s="43" t="str">
        <f aca="false">IF($B178="","",INDEX(Listas!$G$6:$G$12,WEEKDAY($B178,1)))</f>
        <v/>
      </c>
      <c r="K178" s="43" t="str">
        <f aca="false">IFERROR(IF($L178="","",TEXT(IF($L178&lt;1,HOUR($L178),INT($L178)),"00")&amp;":00"),"")</f>
        <v/>
      </c>
      <c r="L178" s="44"/>
      <c r="M178" s="45"/>
      <c r="N178" s="46"/>
      <c r="O178" s="45"/>
      <c r="P178" s="2"/>
      <c r="Q178" s="2"/>
      <c r="R178" s="2"/>
      <c r="S178" s="2"/>
      <c r="T178" s="2"/>
      <c r="U178" s="47" t="str">
        <f aca="false">IF($G178="","",IF($G178&lt;0,IF(N($U177)=0,1,$U177+1),0))</f>
        <v/>
      </c>
      <c r="V178" s="47" t="str">
        <f aca="false">IF($G178="","",IF($V177="",'Empieza aquí'!$D$8,$V177)+$G178)</f>
        <v/>
      </c>
      <c r="W178" s="47" t="str">
        <f aca="false">IF($V178="","",MAX(IF($W177="",'Empieza aquí'!$D$8,$W177),$V178))</f>
        <v/>
      </c>
      <c r="X178" s="47" t="str">
        <f aca="false">IF($V178="","",$V178-$W178)</f>
        <v/>
      </c>
      <c r="Y178" s="3"/>
      <c r="Z178" s="3"/>
      <c r="AA178" s="3"/>
      <c r="AB178" s="3"/>
      <c r="AC178" s="3"/>
      <c r="AD178" s="3"/>
      <c r="AE178" s="3"/>
      <c r="AF178" s="3"/>
      <c r="AG178" s="3"/>
      <c r="AH178" s="3"/>
    </row>
    <row r="179" customFormat="false" ht="15" hidden="false" customHeight="true" outlineLevel="0" collapsed="false">
      <c r="A179" s="2"/>
      <c r="B179" s="36"/>
      <c r="C179" s="37"/>
      <c r="D179" s="37"/>
      <c r="E179" s="38"/>
      <c r="F179" s="39"/>
      <c r="G179" s="40" t="str">
        <f aca="false">IF(OR($E179="",$C179="",$D179=""),"",$E179*$D179*IFERROR(INDEX(Listas!$C$6:$C$20,MATCH($C179,Listas!$B$6:$B$20,0)),0)-$D179*IFERROR(INDEX(Listas!$D$6:$D$20,MATCH($C179,Listas!$B$6:$B$20,0)),0))</f>
        <v/>
      </c>
      <c r="H179" s="41" t="str">
        <f aca="false">IF(OR($F179="",$C179="",$D179=""),"",ABS($F179)*$D179*IFERROR(INDEX(Listas!$C$6:$C$20,MATCH($C179,Listas!$B$6:$B$20,0)),0))</f>
        <v/>
      </c>
      <c r="I179" s="42" t="str">
        <f aca="false">IF(OR($E179="",$F179="",$F179=0),"",$E179/ABS($F179))</f>
        <v/>
      </c>
      <c r="J179" s="43" t="str">
        <f aca="false">IF($B179="","",INDEX(Listas!$G$6:$G$12,WEEKDAY($B179,1)))</f>
        <v/>
      </c>
      <c r="K179" s="43" t="str">
        <f aca="false">IFERROR(IF($L179="","",TEXT(IF($L179&lt;1,HOUR($L179),INT($L179)),"00")&amp;":00"),"")</f>
        <v/>
      </c>
      <c r="L179" s="44"/>
      <c r="M179" s="45"/>
      <c r="N179" s="46"/>
      <c r="O179" s="45"/>
      <c r="P179" s="2"/>
      <c r="Q179" s="2"/>
      <c r="R179" s="2"/>
      <c r="S179" s="2"/>
      <c r="T179" s="2"/>
      <c r="U179" s="47" t="str">
        <f aca="false">IF($G179="","",IF($G179&lt;0,IF(N($U178)=0,1,$U178+1),0))</f>
        <v/>
      </c>
      <c r="V179" s="47" t="str">
        <f aca="false">IF($G179="","",IF($V178="",'Empieza aquí'!$D$8,$V178)+$G179)</f>
        <v/>
      </c>
      <c r="W179" s="47" t="str">
        <f aca="false">IF($V179="","",MAX(IF($W178="",'Empieza aquí'!$D$8,$W178),$V179))</f>
        <v/>
      </c>
      <c r="X179" s="47" t="str">
        <f aca="false">IF($V179="","",$V179-$W179)</f>
        <v/>
      </c>
      <c r="Y179" s="3"/>
      <c r="Z179" s="3"/>
      <c r="AA179" s="3"/>
      <c r="AB179" s="3"/>
      <c r="AC179" s="3"/>
      <c r="AD179" s="3"/>
      <c r="AE179" s="3"/>
      <c r="AF179" s="3"/>
      <c r="AG179" s="3"/>
      <c r="AH179" s="3"/>
    </row>
    <row r="180" customFormat="false" ht="15" hidden="false" customHeight="true" outlineLevel="0" collapsed="false">
      <c r="A180" s="2"/>
      <c r="B180" s="36"/>
      <c r="C180" s="37"/>
      <c r="D180" s="37"/>
      <c r="E180" s="38"/>
      <c r="F180" s="39"/>
      <c r="G180" s="40" t="str">
        <f aca="false">IF(OR($E180="",$C180="",$D180=""),"",$E180*$D180*IFERROR(INDEX(Listas!$C$6:$C$20,MATCH($C180,Listas!$B$6:$B$20,0)),0)-$D180*IFERROR(INDEX(Listas!$D$6:$D$20,MATCH($C180,Listas!$B$6:$B$20,0)),0))</f>
        <v/>
      </c>
      <c r="H180" s="41" t="str">
        <f aca="false">IF(OR($F180="",$C180="",$D180=""),"",ABS($F180)*$D180*IFERROR(INDEX(Listas!$C$6:$C$20,MATCH($C180,Listas!$B$6:$B$20,0)),0))</f>
        <v/>
      </c>
      <c r="I180" s="42" t="str">
        <f aca="false">IF(OR($E180="",$F180="",$F180=0),"",$E180/ABS($F180))</f>
        <v/>
      </c>
      <c r="J180" s="43" t="str">
        <f aca="false">IF($B180="","",INDEX(Listas!$G$6:$G$12,WEEKDAY($B180,1)))</f>
        <v/>
      </c>
      <c r="K180" s="43" t="str">
        <f aca="false">IFERROR(IF($L180="","",TEXT(IF($L180&lt;1,HOUR($L180),INT($L180)),"00")&amp;":00"),"")</f>
        <v/>
      </c>
      <c r="L180" s="44"/>
      <c r="M180" s="45"/>
      <c r="N180" s="46"/>
      <c r="O180" s="45"/>
      <c r="P180" s="2"/>
      <c r="Q180" s="2"/>
      <c r="R180" s="2"/>
      <c r="S180" s="2"/>
      <c r="T180" s="2"/>
      <c r="U180" s="47" t="str">
        <f aca="false">IF($G180="","",IF($G180&lt;0,IF(N($U179)=0,1,$U179+1),0))</f>
        <v/>
      </c>
      <c r="V180" s="47" t="str">
        <f aca="false">IF($G180="","",IF($V179="",'Empieza aquí'!$D$8,$V179)+$G180)</f>
        <v/>
      </c>
      <c r="W180" s="47" t="str">
        <f aca="false">IF($V180="","",MAX(IF($W179="",'Empieza aquí'!$D$8,$W179),$V180))</f>
        <v/>
      </c>
      <c r="X180" s="47" t="str">
        <f aca="false">IF($V180="","",$V180-$W180)</f>
        <v/>
      </c>
      <c r="Y180" s="3"/>
      <c r="Z180" s="3"/>
      <c r="AA180" s="3"/>
      <c r="AB180" s="3"/>
      <c r="AC180" s="3"/>
      <c r="AD180" s="3"/>
      <c r="AE180" s="3"/>
      <c r="AF180" s="3"/>
      <c r="AG180" s="3"/>
      <c r="AH180" s="3"/>
    </row>
    <row r="181" customFormat="false" ht="15" hidden="false" customHeight="true" outlineLevel="0" collapsed="false">
      <c r="A181" s="2"/>
      <c r="B181" s="36"/>
      <c r="C181" s="37"/>
      <c r="D181" s="37"/>
      <c r="E181" s="38"/>
      <c r="F181" s="39"/>
      <c r="G181" s="40" t="str">
        <f aca="false">IF(OR($E181="",$C181="",$D181=""),"",$E181*$D181*IFERROR(INDEX(Listas!$C$6:$C$20,MATCH($C181,Listas!$B$6:$B$20,0)),0)-$D181*IFERROR(INDEX(Listas!$D$6:$D$20,MATCH($C181,Listas!$B$6:$B$20,0)),0))</f>
        <v/>
      </c>
      <c r="H181" s="41" t="str">
        <f aca="false">IF(OR($F181="",$C181="",$D181=""),"",ABS($F181)*$D181*IFERROR(INDEX(Listas!$C$6:$C$20,MATCH($C181,Listas!$B$6:$B$20,0)),0))</f>
        <v/>
      </c>
      <c r="I181" s="42" t="str">
        <f aca="false">IF(OR($E181="",$F181="",$F181=0),"",$E181/ABS($F181))</f>
        <v/>
      </c>
      <c r="J181" s="43" t="str">
        <f aca="false">IF($B181="","",INDEX(Listas!$G$6:$G$12,WEEKDAY($B181,1)))</f>
        <v/>
      </c>
      <c r="K181" s="43" t="str">
        <f aca="false">IFERROR(IF($L181="","",TEXT(IF($L181&lt;1,HOUR($L181),INT($L181)),"00")&amp;":00"),"")</f>
        <v/>
      </c>
      <c r="L181" s="44"/>
      <c r="M181" s="45"/>
      <c r="N181" s="46"/>
      <c r="O181" s="45"/>
      <c r="P181" s="2"/>
      <c r="Q181" s="2"/>
      <c r="R181" s="2"/>
      <c r="S181" s="2"/>
      <c r="T181" s="2"/>
      <c r="U181" s="47" t="str">
        <f aca="false">IF($G181="","",IF($G181&lt;0,IF(N($U180)=0,1,$U180+1),0))</f>
        <v/>
      </c>
      <c r="V181" s="47" t="str">
        <f aca="false">IF($G181="","",IF($V180="",'Empieza aquí'!$D$8,$V180)+$G181)</f>
        <v/>
      </c>
      <c r="W181" s="47" t="str">
        <f aca="false">IF($V181="","",MAX(IF($W180="",'Empieza aquí'!$D$8,$W180),$V181))</f>
        <v/>
      </c>
      <c r="X181" s="47" t="str">
        <f aca="false">IF($V181="","",$V181-$W181)</f>
        <v/>
      </c>
      <c r="Y181" s="3"/>
      <c r="Z181" s="3"/>
      <c r="AA181" s="3"/>
      <c r="AB181" s="3"/>
      <c r="AC181" s="3"/>
      <c r="AD181" s="3"/>
      <c r="AE181" s="3"/>
      <c r="AF181" s="3"/>
      <c r="AG181" s="3"/>
      <c r="AH181" s="3"/>
    </row>
    <row r="182" customFormat="false" ht="15" hidden="false" customHeight="true" outlineLevel="0" collapsed="false">
      <c r="A182" s="2"/>
      <c r="B182" s="36"/>
      <c r="C182" s="37"/>
      <c r="D182" s="37"/>
      <c r="E182" s="38"/>
      <c r="F182" s="39"/>
      <c r="G182" s="40" t="str">
        <f aca="false">IF(OR($E182="",$C182="",$D182=""),"",$E182*$D182*IFERROR(INDEX(Listas!$C$6:$C$20,MATCH($C182,Listas!$B$6:$B$20,0)),0)-$D182*IFERROR(INDEX(Listas!$D$6:$D$20,MATCH($C182,Listas!$B$6:$B$20,0)),0))</f>
        <v/>
      </c>
      <c r="H182" s="41" t="str">
        <f aca="false">IF(OR($F182="",$C182="",$D182=""),"",ABS($F182)*$D182*IFERROR(INDEX(Listas!$C$6:$C$20,MATCH($C182,Listas!$B$6:$B$20,0)),0))</f>
        <v/>
      </c>
      <c r="I182" s="42" t="str">
        <f aca="false">IF(OR($E182="",$F182="",$F182=0),"",$E182/ABS($F182))</f>
        <v/>
      </c>
      <c r="J182" s="43" t="str">
        <f aca="false">IF($B182="","",INDEX(Listas!$G$6:$G$12,WEEKDAY($B182,1)))</f>
        <v/>
      </c>
      <c r="K182" s="43" t="str">
        <f aca="false">IFERROR(IF($L182="","",TEXT(IF($L182&lt;1,HOUR($L182),INT($L182)),"00")&amp;":00"),"")</f>
        <v/>
      </c>
      <c r="L182" s="44"/>
      <c r="M182" s="45"/>
      <c r="N182" s="46"/>
      <c r="O182" s="45"/>
      <c r="P182" s="2"/>
      <c r="Q182" s="2"/>
      <c r="R182" s="2"/>
      <c r="S182" s="2"/>
      <c r="T182" s="2"/>
      <c r="U182" s="47" t="str">
        <f aca="false">IF($G182="","",IF($G182&lt;0,IF(N($U181)=0,1,$U181+1),0))</f>
        <v/>
      </c>
      <c r="V182" s="47" t="str">
        <f aca="false">IF($G182="","",IF($V181="",'Empieza aquí'!$D$8,$V181)+$G182)</f>
        <v/>
      </c>
      <c r="W182" s="47" t="str">
        <f aca="false">IF($V182="","",MAX(IF($W181="",'Empieza aquí'!$D$8,$W181),$V182))</f>
        <v/>
      </c>
      <c r="X182" s="47" t="str">
        <f aca="false">IF($V182="","",$V182-$W182)</f>
        <v/>
      </c>
      <c r="Y182" s="3"/>
      <c r="Z182" s="3"/>
      <c r="AA182" s="3"/>
      <c r="AB182" s="3"/>
      <c r="AC182" s="3"/>
      <c r="AD182" s="3"/>
      <c r="AE182" s="3"/>
      <c r="AF182" s="3"/>
      <c r="AG182" s="3"/>
      <c r="AH182" s="3"/>
    </row>
    <row r="183" customFormat="false" ht="15" hidden="false" customHeight="true" outlineLevel="0" collapsed="false">
      <c r="A183" s="2"/>
      <c r="B183" s="36"/>
      <c r="C183" s="37"/>
      <c r="D183" s="37"/>
      <c r="E183" s="38"/>
      <c r="F183" s="39"/>
      <c r="G183" s="40" t="str">
        <f aca="false">IF(OR($E183="",$C183="",$D183=""),"",$E183*$D183*IFERROR(INDEX(Listas!$C$6:$C$20,MATCH($C183,Listas!$B$6:$B$20,0)),0)-$D183*IFERROR(INDEX(Listas!$D$6:$D$20,MATCH($C183,Listas!$B$6:$B$20,0)),0))</f>
        <v/>
      </c>
      <c r="H183" s="41" t="str">
        <f aca="false">IF(OR($F183="",$C183="",$D183=""),"",ABS($F183)*$D183*IFERROR(INDEX(Listas!$C$6:$C$20,MATCH($C183,Listas!$B$6:$B$20,0)),0))</f>
        <v/>
      </c>
      <c r="I183" s="42" t="str">
        <f aca="false">IF(OR($E183="",$F183="",$F183=0),"",$E183/ABS($F183))</f>
        <v/>
      </c>
      <c r="J183" s="43" t="str">
        <f aca="false">IF($B183="","",INDEX(Listas!$G$6:$G$12,WEEKDAY($B183,1)))</f>
        <v/>
      </c>
      <c r="K183" s="43" t="str">
        <f aca="false">IFERROR(IF($L183="","",TEXT(IF($L183&lt;1,HOUR($L183),INT($L183)),"00")&amp;":00"),"")</f>
        <v/>
      </c>
      <c r="L183" s="44"/>
      <c r="M183" s="45"/>
      <c r="N183" s="46"/>
      <c r="O183" s="45"/>
      <c r="P183" s="2"/>
      <c r="Q183" s="2"/>
      <c r="R183" s="2"/>
      <c r="S183" s="2"/>
      <c r="T183" s="2"/>
      <c r="U183" s="47" t="str">
        <f aca="false">IF($G183="","",IF($G183&lt;0,IF(N($U182)=0,1,$U182+1),0))</f>
        <v/>
      </c>
      <c r="V183" s="47" t="str">
        <f aca="false">IF($G183="","",IF($V182="",'Empieza aquí'!$D$8,$V182)+$G183)</f>
        <v/>
      </c>
      <c r="W183" s="47" t="str">
        <f aca="false">IF($V183="","",MAX(IF($W182="",'Empieza aquí'!$D$8,$W182),$V183))</f>
        <v/>
      </c>
      <c r="X183" s="47" t="str">
        <f aca="false">IF($V183="","",$V183-$W183)</f>
        <v/>
      </c>
      <c r="Y183" s="3"/>
      <c r="Z183" s="3"/>
      <c r="AA183" s="3"/>
      <c r="AB183" s="3"/>
      <c r="AC183" s="3"/>
      <c r="AD183" s="3"/>
      <c r="AE183" s="3"/>
      <c r="AF183" s="3"/>
      <c r="AG183" s="3"/>
      <c r="AH183" s="3"/>
    </row>
    <row r="184" customFormat="false" ht="15" hidden="false" customHeight="true" outlineLevel="0" collapsed="false">
      <c r="A184" s="2"/>
      <c r="B184" s="36"/>
      <c r="C184" s="37"/>
      <c r="D184" s="37"/>
      <c r="E184" s="38"/>
      <c r="F184" s="39"/>
      <c r="G184" s="40" t="str">
        <f aca="false">IF(OR($E184="",$C184="",$D184=""),"",$E184*$D184*IFERROR(INDEX(Listas!$C$6:$C$20,MATCH($C184,Listas!$B$6:$B$20,0)),0)-$D184*IFERROR(INDEX(Listas!$D$6:$D$20,MATCH($C184,Listas!$B$6:$B$20,0)),0))</f>
        <v/>
      </c>
      <c r="H184" s="41" t="str">
        <f aca="false">IF(OR($F184="",$C184="",$D184=""),"",ABS($F184)*$D184*IFERROR(INDEX(Listas!$C$6:$C$20,MATCH($C184,Listas!$B$6:$B$20,0)),0))</f>
        <v/>
      </c>
      <c r="I184" s="42" t="str">
        <f aca="false">IF(OR($E184="",$F184="",$F184=0),"",$E184/ABS($F184))</f>
        <v/>
      </c>
      <c r="J184" s="43" t="str">
        <f aca="false">IF($B184="","",INDEX(Listas!$G$6:$G$12,WEEKDAY($B184,1)))</f>
        <v/>
      </c>
      <c r="K184" s="43" t="str">
        <f aca="false">IFERROR(IF($L184="","",TEXT(IF($L184&lt;1,HOUR($L184),INT($L184)),"00")&amp;":00"),"")</f>
        <v/>
      </c>
      <c r="L184" s="44"/>
      <c r="M184" s="45"/>
      <c r="N184" s="46"/>
      <c r="O184" s="45"/>
      <c r="P184" s="2"/>
      <c r="Q184" s="2"/>
      <c r="R184" s="2"/>
      <c r="S184" s="2"/>
      <c r="T184" s="2"/>
      <c r="U184" s="47" t="str">
        <f aca="false">IF($G184="","",IF($G184&lt;0,IF(N($U183)=0,1,$U183+1),0))</f>
        <v/>
      </c>
      <c r="V184" s="47" t="str">
        <f aca="false">IF($G184="","",IF($V183="",'Empieza aquí'!$D$8,$V183)+$G184)</f>
        <v/>
      </c>
      <c r="W184" s="47" t="str">
        <f aca="false">IF($V184="","",MAX(IF($W183="",'Empieza aquí'!$D$8,$W183),$V184))</f>
        <v/>
      </c>
      <c r="X184" s="47" t="str">
        <f aca="false">IF($V184="","",$V184-$W184)</f>
        <v/>
      </c>
      <c r="Y184" s="3"/>
      <c r="Z184" s="3"/>
      <c r="AA184" s="3"/>
      <c r="AB184" s="3"/>
      <c r="AC184" s="3"/>
      <c r="AD184" s="3"/>
      <c r="AE184" s="3"/>
      <c r="AF184" s="3"/>
      <c r="AG184" s="3"/>
      <c r="AH184" s="3"/>
    </row>
    <row r="185" customFormat="false" ht="15" hidden="false" customHeight="true" outlineLevel="0" collapsed="false">
      <c r="A185" s="2"/>
      <c r="B185" s="36"/>
      <c r="C185" s="37"/>
      <c r="D185" s="37"/>
      <c r="E185" s="38"/>
      <c r="F185" s="39"/>
      <c r="G185" s="40" t="str">
        <f aca="false">IF(OR($E185="",$C185="",$D185=""),"",$E185*$D185*IFERROR(INDEX(Listas!$C$6:$C$20,MATCH($C185,Listas!$B$6:$B$20,0)),0)-$D185*IFERROR(INDEX(Listas!$D$6:$D$20,MATCH($C185,Listas!$B$6:$B$20,0)),0))</f>
        <v/>
      </c>
      <c r="H185" s="41" t="str">
        <f aca="false">IF(OR($F185="",$C185="",$D185=""),"",ABS($F185)*$D185*IFERROR(INDEX(Listas!$C$6:$C$20,MATCH($C185,Listas!$B$6:$B$20,0)),0))</f>
        <v/>
      </c>
      <c r="I185" s="42" t="str">
        <f aca="false">IF(OR($E185="",$F185="",$F185=0),"",$E185/ABS($F185))</f>
        <v/>
      </c>
      <c r="J185" s="43" t="str">
        <f aca="false">IF($B185="","",INDEX(Listas!$G$6:$G$12,WEEKDAY($B185,1)))</f>
        <v/>
      </c>
      <c r="K185" s="43" t="str">
        <f aca="false">IFERROR(IF($L185="","",TEXT(IF($L185&lt;1,HOUR($L185),INT($L185)),"00")&amp;":00"),"")</f>
        <v/>
      </c>
      <c r="L185" s="44"/>
      <c r="M185" s="45"/>
      <c r="N185" s="46"/>
      <c r="O185" s="45"/>
      <c r="P185" s="2"/>
      <c r="Q185" s="2"/>
      <c r="R185" s="2"/>
      <c r="S185" s="2"/>
      <c r="T185" s="2"/>
      <c r="U185" s="47" t="str">
        <f aca="false">IF($G185="","",IF($G185&lt;0,IF(N($U184)=0,1,$U184+1),0))</f>
        <v/>
      </c>
      <c r="V185" s="47" t="str">
        <f aca="false">IF($G185="","",IF($V184="",'Empieza aquí'!$D$8,$V184)+$G185)</f>
        <v/>
      </c>
      <c r="W185" s="47" t="str">
        <f aca="false">IF($V185="","",MAX(IF($W184="",'Empieza aquí'!$D$8,$W184),$V185))</f>
        <v/>
      </c>
      <c r="X185" s="47" t="str">
        <f aca="false">IF($V185="","",$V185-$W185)</f>
        <v/>
      </c>
      <c r="Y185" s="3"/>
      <c r="Z185" s="3"/>
      <c r="AA185" s="3"/>
      <c r="AB185" s="3"/>
      <c r="AC185" s="3"/>
      <c r="AD185" s="3"/>
      <c r="AE185" s="3"/>
      <c r="AF185" s="3"/>
      <c r="AG185" s="3"/>
      <c r="AH185" s="3"/>
    </row>
    <row r="186" customFormat="false" ht="15" hidden="false" customHeight="true" outlineLevel="0" collapsed="false">
      <c r="A186" s="2"/>
      <c r="B186" s="36"/>
      <c r="C186" s="37"/>
      <c r="D186" s="37"/>
      <c r="E186" s="38"/>
      <c r="F186" s="39"/>
      <c r="G186" s="40" t="str">
        <f aca="false">IF(OR($E186="",$C186="",$D186=""),"",$E186*$D186*IFERROR(INDEX(Listas!$C$6:$C$20,MATCH($C186,Listas!$B$6:$B$20,0)),0)-$D186*IFERROR(INDEX(Listas!$D$6:$D$20,MATCH($C186,Listas!$B$6:$B$20,0)),0))</f>
        <v/>
      </c>
      <c r="H186" s="41" t="str">
        <f aca="false">IF(OR($F186="",$C186="",$D186=""),"",ABS($F186)*$D186*IFERROR(INDEX(Listas!$C$6:$C$20,MATCH($C186,Listas!$B$6:$B$20,0)),0))</f>
        <v/>
      </c>
      <c r="I186" s="42" t="str">
        <f aca="false">IF(OR($E186="",$F186="",$F186=0),"",$E186/ABS($F186))</f>
        <v/>
      </c>
      <c r="J186" s="43" t="str">
        <f aca="false">IF($B186="","",INDEX(Listas!$G$6:$G$12,WEEKDAY($B186,1)))</f>
        <v/>
      </c>
      <c r="K186" s="43" t="str">
        <f aca="false">IFERROR(IF($L186="","",TEXT(IF($L186&lt;1,HOUR($L186),INT($L186)),"00")&amp;":00"),"")</f>
        <v/>
      </c>
      <c r="L186" s="44"/>
      <c r="M186" s="45"/>
      <c r="N186" s="46"/>
      <c r="O186" s="45"/>
      <c r="P186" s="2"/>
      <c r="Q186" s="2"/>
      <c r="R186" s="2"/>
      <c r="S186" s="2"/>
      <c r="T186" s="2"/>
      <c r="U186" s="47" t="str">
        <f aca="false">IF($G186="","",IF($G186&lt;0,IF(N($U185)=0,1,$U185+1),0))</f>
        <v/>
      </c>
      <c r="V186" s="47" t="str">
        <f aca="false">IF($G186="","",IF($V185="",'Empieza aquí'!$D$8,$V185)+$G186)</f>
        <v/>
      </c>
      <c r="W186" s="47" t="str">
        <f aca="false">IF($V186="","",MAX(IF($W185="",'Empieza aquí'!$D$8,$W185),$V186))</f>
        <v/>
      </c>
      <c r="X186" s="47" t="str">
        <f aca="false">IF($V186="","",$V186-$W186)</f>
        <v/>
      </c>
      <c r="Y186" s="3"/>
      <c r="Z186" s="3"/>
      <c r="AA186" s="3"/>
      <c r="AB186" s="3"/>
      <c r="AC186" s="3"/>
      <c r="AD186" s="3"/>
      <c r="AE186" s="3"/>
      <c r="AF186" s="3"/>
      <c r="AG186" s="3"/>
      <c r="AH186" s="3"/>
    </row>
    <row r="187" customFormat="false" ht="15" hidden="false" customHeight="true" outlineLevel="0" collapsed="false">
      <c r="A187" s="2"/>
      <c r="B187" s="36"/>
      <c r="C187" s="37"/>
      <c r="D187" s="37"/>
      <c r="E187" s="38"/>
      <c r="F187" s="39"/>
      <c r="G187" s="40" t="str">
        <f aca="false">IF(OR($E187="",$C187="",$D187=""),"",$E187*$D187*IFERROR(INDEX(Listas!$C$6:$C$20,MATCH($C187,Listas!$B$6:$B$20,0)),0)-$D187*IFERROR(INDEX(Listas!$D$6:$D$20,MATCH($C187,Listas!$B$6:$B$20,0)),0))</f>
        <v/>
      </c>
      <c r="H187" s="41" t="str">
        <f aca="false">IF(OR($F187="",$C187="",$D187=""),"",ABS($F187)*$D187*IFERROR(INDEX(Listas!$C$6:$C$20,MATCH($C187,Listas!$B$6:$B$20,0)),0))</f>
        <v/>
      </c>
      <c r="I187" s="42" t="str">
        <f aca="false">IF(OR($E187="",$F187="",$F187=0),"",$E187/ABS($F187))</f>
        <v/>
      </c>
      <c r="J187" s="43" t="str">
        <f aca="false">IF($B187="","",INDEX(Listas!$G$6:$G$12,WEEKDAY($B187,1)))</f>
        <v/>
      </c>
      <c r="K187" s="43" t="str">
        <f aca="false">IFERROR(IF($L187="","",TEXT(IF($L187&lt;1,HOUR($L187),INT($L187)),"00")&amp;":00"),"")</f>
        <v/>
      </c>
      <c r="L187" s="44"/>
      <c r="M187" s="45"/>
      <c r="N187" s="46"/>
      <c r="O187" s="45"/>
      <c r="P187" s="2"/>
      <c r="Q187" s="2"/>
      <c r="R187" s="2"/>
      <c r="S187" s="2"/>
      <c r="T187" s="2"/>
      <c r="U187" s="47" t="str">
        <f aca="false">IF($G187="","",IF($G187&lt;0,IF(N($U186)=0,1,$U186+1),0))</f>
        <v/>
      </c>
      <c r="V187" s="47" t="str">
        <f aca="false">IF($G187="","",IF($V186="",'Empieza aquí'!$D$8,$V186)+$G187)</f>
        <v/>
      </c>
      <c r="W187" s="47" t="str">
        <f aca="false">IF($V187="","",MAX(IF($W186="",'Empieza aquí'!$D$8,$W186),$V187))</f>
        <v/>
      </c>
      <c r="X187" s="47" t="str">
        <f aca="false">IF($V187="","",$V187-$W187)</f>
        <v/>
      </c>
      <c r="Y187" s="3"/>
      <c r="Z187" s="3"/>
      <c r="AA187" s="3"/>
      <c r="AB187" s="3"/>
      <c r="AC187" s="3"/>
      <c r="AD187" s="3"/>
      <c r="AE187" s="3"/>
      <c r="AF187" s="3"/>
      <c r="AG187" s="3"/>
      <c r="AH187" s="3"/>
    </row>
    <row r="188" customFormat="false" ht="15" hidden="false" customHeight="true" outlineLevel="0" collapsed="false">
      <c r="A188" s="2"/>
      <c r="B188" s="36"/>
      <c r="C188" s="37"/>
      <c r="D188" s="37"/>
      <c r="E188" s="38"/>
      <c r="F188" s="39"/>
      <c r="G188" s="40" t="str">
        <f aca="false">IF(OR($E188="",$C188="",$D188=""),"",$E188*$D188*IFERROR(INDEX(Listas!$C$6:$C$20,MATCH($C188,Listas!$B$6:$B$20,0)),0)-$D188*IFERROR(INDEX(Listas!$D$6:$D$20,MATCH($C188,Listas!$B$6:$B$20,0)),0))</f>
        <v/>
      </c>
      <c r="H188" s="41" t="str">
        <f aca="false">IF(OR($F188="",$C188="",$D188=""),"",ABS($F188)*$D188*IFERROR(INDEX(Listas!$C$6:$C$20,MATCH($C188,Listas!$B$6:$B$20,0)),0))</f>
        <v/>
      </c>
      <c r="I188" s="42" t="str">
        <f aca="false">IF(OR($E188="",$F188="",$F188=0),"",$E188/ABS($F188))</f>
        <v/>
      </c>
      <c r="J188" s="43" t="str">
        <f aca="false">IF($B188="","",INDEX(Listas!$G$6:$G$12,WEEKDAY($B188,1)))</f>
        <v/>
      </c>
      <c r="K188" s="43" t="str">
        <f aca="false">IFERROR(IF($L188="","",TEXT(IF($L188&lt;1,HOUR($L188),INT($L188)),"00")&amp;":00"),"")</f>
        <v/>
      </c>
      <c r="L188" s="44"/>
      <c r="M188" s="45"/>
      <c r="N188" s="46"/>
      <c r="O188" s="45"/>
      <c r="P188" s="2"/>
      <c r="Q188" s="2"/>
      <c r="R188" s="2"/>
      <c r="S188" s="2"/>
      <c r="T188" s="2"/>
      <c r="U188" s="47" t="str">
        <f aca="false">IF($G188="","",IF($G188&lt;0,IF(N($U187)=0,1,$U187+1),0))</f>
        <v/>
      </c>
      <c r="V188" s="47" t="str">
        <f aca="false">IF($G188="","",IF($V187="",'Empieza aquí'!$D$8,$V187)+$G188)</f>
        <v/>
      </c>
      <c r="W188" s="47" t="str">
        <f aca="false">IF($V188="","",MAX(IF($W187="",'Empieza aquí'!$D$8,$W187),$V188))</f>
        <v/>
      </c>
      <c r="X188" s="47" t="str">
        <f aca="false">IF($V188="","",$V188-$W188)</f>
        <v/>
      </c>
      <c r="Y188" s="3"/>
      <c r="Z188" s="3"/>
      <c r="AA188" s="3"/>
      <c r="AB188" s="3"/>
      <c r="AC188" s="3"/>
      <c r="AD188" s="3"/>
      <c r="AE188" s="3"/>
      <c r="AF188" s="3"/>
      <c r="AG188" s="3"/>
      <c r="AH188" s="3"/>
    </row>
    <row r="189" customFormat="false" ht="15" hidden="false" customHeight="true" outlineLevel="0" collapsed="false">
      <c r="A189" s="2"/>
      <c r="B189" s="36"/>
      <c r="C189" s="37"/>
      <c r="D189" s="37"/>
      <c r="E189" s="38"/>
      <c r="F189" s="39"/>
      <c r="G189" s="40" t="str">
        <f aca="false">IF(OR($E189="",$C189="",$D189=""),"",$E189*$D189*IFERROR(INDEX(Listas!$C$6:$C$20,MATCH($C189,Listas!$B$6:$B$20,0)),0)-$D189*IFERROR(INDEX(Listas!$D$6:$D$20,MATCH($C189,Listas!$B$6:$B$20,0)),0))</f>
        <v/>
      </c>
      <c r="H189" s="41" t="str">
        <f aca="false">IF(OR($F189="",$C189="",$D189=""),"",ABS($F189)*$D189*IFERROR(INDEX(Listas!$C$6:$C$20,MATCH($C189,Listas!$B$6:$B$20,0)),0))</f>
        <v/>
      </c>
      <c r="I189" s="42" t="str">
        <f aca="false">IF(OR($E189="",$F189="",$F189=0),"",$E189/ABS($F189))</f>
        <v/>
      </c>
      <c r="J189" s="43" t="str">
        <f aca="false">IF($B189="","",INDEX(Listas!$G$6:$G$12,WEEKDAY($B189,1)))</f>
        <v/>
      </c>
      <c r="K189" s="43" t="str">
        <f aca="false">IFERROR(IF($L189="","",TEXT(IF($L189&lt;1,HOUR($L189),INT($L189)),"00")&amp;":00"),"")</f>
        <v/>
      </c>
      <c r="L189" s="44"/>
      <c r="M189" s="45"/>
      <c r="N189" s="46"/>
      <c r="O189" s="45"/>
      <c r="P189" s="2"/>
      <c r="Q189" s="2"/>
      <c r="R189" s="2"/>
      <c r="S189" s="2"/>
      <c r="T189" s="2"/>
      <c r="U189" s="47" t="str">
        <f aca="false">IF($G189="","",IF($G189&lt;0,IF(N($U188)=0,1,$U188+1),0))</f>
        <v/>
      </c>
      <c r="V189" s="47" t="str">
        <f aca="false">IF($G189="","",IF($V188="",'Empieza aquí'!$D$8,$V188)+$G189)</f>
        <v/>
      </c>
      <c r="W189" s="47" t="str">
        <f aca="false">IF($V189="","",MAX(IF($W188="",'Empieza aquí'!$D$8,$W188),$V189))</f>
        <v/>
      </c>
      <c r="X189" s="47" t="str">
        <f aca="false">IF($V189="","",$V189-$W189)</f>
        <v/>
      </c>
      <c r="Y189" s="3"/>
      <c r="Z189" s="3"/>
      <c r="AA189" s="3"/>
      <c r="AB189" s="3"/>
      <c r="AC189" s="3"/>
      <c r="AD189" s="3"/>
      <c r="AE189" s="3"/>
      <c r="AF189" s="3"/>
      <c r="AG189" s="3"/>
      <c r="AH189" s="3"/>
    </row>
    <row r="190" customFormat="false" ht="15" hidden="false" customHeight="true" outlineLevel="0" collapsed="false">
      <c r="A190" s="2"/>
      <c r="B190" s="36"/>
      <c r="C190" s="37"/>
      <c r="D190" s="37"/>
      <c r="E190" s="38"/>
      <c r="F190" s="39"/>
      <c r="G190" s="40" t="str">
        <f aca="false">IF(OR($E190="",$C190="",$D190=""),"",$E190*$D190*IFERROR(INDEX(Listas!$C$6:$C$20,MATCH($C190,Listas!$B$6:$B$20,0)),0)-$D190*IFERROR(INDEX(Listas!$D$6:$D$20,MATCH($C190,Listas!$B$6:$B$20,0)),0))</f>
        <v/>
      </c>
      <c r="H190" s="41" t="str">
        <f aca="false">IF(OR($F190="",$C190="",$D190=""),"",ABS($F190)*$D190*IFERROR(INDEX(Listas!$C$6:$C$20,MATCH($C190,Listas!$B$6:$B$20,0)),0))</f>
        <v/>
      </c>
      <c r="I190" s="42" t="str">
        <f aca="false">IF(OR($E190="",$F190="",$F190=0),"",$E190/ABS($F190))</f>
        <v/>
      </c>
      <c r="J190" s="43" t="str">
        <f aca="false">IF($B190="","",INDEX(Listas!$G$6:$G$12,WEEKDAY($B190,1)))</f>
        <v/>
      </c>
      <c r="K190" s="43" t="str">
        <f aca="false">IFERROR(IF($L190="","",TEXT(IF($L190&lt;1,HOUR($L190),INT($L190)),"00")&amp;":00"),"")</f>
        <v/>
      </c>
      <c r="L190" s="44"/>
      <c r="M190" s="45"/>
      <c r="N190" s="46"/>
      <c r="O190" s="45"/>
      <c r="P190" s="2"/>
      <c r="Q190" s="2"/>
      <c r="R190" s="2"/>
      <c r="S190" s="2"/>
      <c r="T190" s="2"/>
      <c r="U190" s="47" t="str">
        <f aca="false">IF($G190="","",IF($G190&lt;0,IF(N($U189)=0,1,$U189+1),0))</f>
        <v/>
      </c>
      <c r="V190" s="47" t="str">
        <f aca="false">IF($G190="","",IF($V189="",'Empieza aquí'!$D$8,$V189)+$G190)</f>
        <v/>
      </c>
      <c r="W190" s="47" t="str">
        <f aca="false">IF($V190="","",MAX(IF($W189="",'Empieza aquí'!$D$8,$W189),$V190))</f>
        <v/>
      </c>
      <c r="X190" s="47" t="str">
        <f aca="false">IF($V190="","",$V190-$W190)</f>
        <v/>
      </c>
      <c r="Y190" s="3"/>
      <c r="Z190" s="3"/>
      <c r="AA190" s="3"/>
      <c r="AB190" s="3"/>
      <c r="AC190" s="3"/>
      <c r="AD190" s="3"/>
      <c r="AE190" s="3"/>
      <c r="AF190" s="3"/>
      <c r="AG190" s="3"/>
      <c r="AH190" s="3"/>
    </row>
    <row r="191" customFormat="false" ht="15" hidden="false" customHeight="true" outlineLevel="0" collapsed="false">
      <c r="A191" s="2"/>
      <c r="B191" s="36"/>
      <c r="C191" s="37"/>
      <c r="D191" s="37"/>
      <c r="E191" s="38"/>
      <c r="F191" s="39"/>
      <c r="G191" s="40" t="str">
        <f aca="false">IF(OR($E191="",$C191="",$D191=""),"",$E191*$D191*IFERROR(INDEX(Listas!$C$6:$C$20,MATCH($C191,Listas!$B$6:$B$20,0)),0)-$D191*IFERROR(INDEX(Listas!$D$6:$D$20,MATCH($C191,Listas!$B$6:$B$20,0)),0))</f>
        <v/>
      </c>
      <c r="H191" s="41" t="str">
        <f aca="false">IF(OR($F191="",$C191="",$D191=""),"",ABS($F191)*$D191*IFERROR(INDEX(Listas!$C$6:$C$20,MATCH($C191,Listas!$B$6:$B$20,0)),0))</f>
        <v/>
      </c>
      <c r="I191" s="42" t="str">
        <f aca="false">IF(OR($E191="",$F191="",$F191=0),"",$E191/ABS($F191))</f>
        <v/>
      </c>
      <c r="J191" s="43" t="str">
        <f aca="false">IF($B191="","",INDEX(Listas!$G$6:$G$12,WEEKDAY($B191,1)))</f>
        <v/>
      </c>
      <c r="K191" s="43" t="str">
        <f aca="false">IFERROR(IF($L191="","",TEXT(IF($L191&lt;1,HOUR($L191),INT($L191)),"00")&amp;":00"),"")</f>
        <v/>
      </c>
      <c r="L191" s="44"/>
      <c r="M191" s="45"/>
      <c r="N191" s="46"/>
      <c r="O191" s="45"/>
      <c r="P191" s="2"/>
      <c r="Q191" s="2"/>
      <c r="R191" s="2"/>
      <c r="S191" s="2"/>
      <c r="T191" s="2"/>
      <c r="U191" s="47" t="str">
        <f aca="false">IF($G191="","",IF($G191&lt;0,IF(N($U190)=0,1,$U190+1),0))</f>
        <v/>
      </c>
      <c r="V191" s="47" t="str">
        <f aca="false">IF($G191="","",IF($V190="",'Empieza aquí'!$D$8,$V190)+$G191)</f>
        <v/>
      </c>
      <c r="W191" s="47" t="str">
        <f aca="false">IF($V191="","",MAX(IF($W190="",'Empieza aquí'!$D$8,$W190),$V191))</f>
        <v/>
      </c>
      <c r="X191" s="47" t="str">
        <f aca="false">IF($V191="","",$V191-$W191)</f>
        <v/>
      </c>
      <c r="Y191" s="3"/>
      <c r="Z191" s="3"/>
      <c r="AA191" s="3"/>
      <c r="AB191" s="3"/>
      <c r="AC191" s="3"/>
      <c r="AD191" s="3"/>
      <c r="AE191" s="3"/>
      <c r="AF191" s="3"/>
      <c r="AG191" s="3"/>
      <c r="AH191" s="3"/>
    </row>
    <row r="192" customFormat="false" ht="15" hidden="false" customHeight="true" outlineLevel="0" collapsed="false">
      <c r="A192" s="2"/>
      <c r="B192" s="36"/>
      <c r="C192" s="37"/>
      <c r="D192" s="37"/>
      <c r="E192" s="38"/>
      <c r="F192" s="39"/>
      <c r="G192" s="40" t="str">
        <f aca="false">IF(OR($E192="",$C192="",$D192=""),"",$E192*$D192*IFERROR(INDEX(Listas!$C$6:$C$20,MATCH($C192,Listas!$B$6:$B$20,0)),0)-$D192*IFERROR(INDEX(Listas!$D$6:$D$20,MATCH($C192,Listas!$B$6:$B$20,0)),0))</f>
        <v/>
      </c>
      <c r="H192" s="41" t="str">
        <f aca="false">IF(OR($F192="",$C192="",$D192=""),"",ABS($F192)*$D192*IFERROR(INDEX(Listas!$C$6:$C$20,MATCH($C192,Listas!$B$6:$B$20,0)),0))</f>
        <v/>
      </c>
      <c r="I192" s="42" t="str">
        <f aca="false">IF(OR($E192="",$F192="",$F192=0),"",$E192/ABS($F192))</f>
        <v/>
      </c>
      <c r="J192" s="43" t="str">
        <f aca="false">IF($B192="","",INDEX(Listas!$G$6:$G$12,WEEKDAY($B192,1)))</f>
        <v/>
      </c>
      <c r="K192" s="43" t="str">
        <f aca="false">IFERROR(IF($L192="","",TEXT(IF($L192&lt;1,HOUR($L192),INT($L192)),"00")&amp;":00"),"")</f>
        <v/>
      </c>
      <c r="L192" s="44"/>
      <c r="M192" s="45"/>
      <c r="N192" s="46"/>
      <c r="O192" s="45"/>
      <c r="P192" s="2"/>
      <c r="Q192" s="2"/>
      <c r="R192" s="2"/>
      <c r="S192" s="2"/>
      <c r="T192" s="2"/>
      <c r="U192" s="47" t="str">
        <f aca="false">IF($G192="","",IF($G192&lt;0,IF(N($U191)=0,1,$U191+1),0))</f>
        <v/>
      </c>
      <c r="V192" s="47" t="str">
        <f aca="false">IF($G192="","",IF($V191="",'Empieza aquí'!$D$8,$V191)+$G192)</f>
        <v/>
      </c>
      <c r="W192" s="47" t="str">
        <f aca="false">IF($V192="","",MAX(IF($W191="",'Empieza aquí'!$D$8,$W191),$V192))</f>
        <v/>
      </c>
      <c r="X192" s="47" t="str">
        <f aca="false">IF($V192="","",$V192-$W192)</f>
        <v/>
      </c>
      <c r="Y192" s="3"/>
      <c r="Z192" s="3"/>
      <c r="AA192" s="3"/>
      <c r="AB192" s="3"/>
      <c r="AC192" s="3"/>
      <c r="AD192" s="3"/>
      <c r="AE192" s="3"/>
      <c r="AF192" s="3"/>
      <c r="AG192" s="3"/>
      <c r="AH192" s="3"/>
    </row>
    <row r="193" customFormat="false" ht="15" hidden="false" customHeight="true" outlineLevel="0" collapsed="false">
      <c r="A193" s="2"/>
      <c r="B193" s="36"/>
      <c r="C193" s="37"/>
      <c r="D193" s="37"/>
      <c r="E193" s="38"/>
      <c r="F193" s="39"/>
      <c r="G193" s="40" t="str">
        <f aca="false">IF(OR($E193="",$C193="",$D193=""),"",$E193*$D193*IFERROR(INDEX(Listas!$C$6:$C$20,MATCH($C193,Listas!$B$6:$B$20,0)),0)-$D193*IFERROR(INDEX(Listas!$D$6:$D$20,MATCH($C193,Listas!$B$6:$B$20,0)),0))</f>
        <v/>
      </c>
      <c r="H193" s="41" t="str">
        <f aca="false">IF(OR($F193="",$C193="",$D193=""),"",ABS($F193)*$D193*IFERROR(INDEX(Listas!$C$6:$C$20,MATCH($C193,Listas!$B$6:$B$20,0)),0))</f>
        <v/>
      </c>
      <c r="I193" s="42" t="str">
        <f aca="false">IF(OR($E193="",$F193="",$F193=0),"",$E193/ABS($F193))</f>
        <v/>
      </c>
      <c r="J193" s="43" t="str">
        <f aca="false">IF($B193="","",INDEX(Listas!$G$6:$G$12,WEEKDAY($B193,1)))</f>
        <v/>
      </c>
      <c r="K193" s="43" t="str">
        <f aca="false">IFERROR(IF($L193="","",TEXT(IF($L193&lt;1,HOUR($L193),INT($L193)),"00")&amp;":00"),"")</f>
        <v/>
      </c>
      <c r="L193" s="44"/>
      <c r="M193" s="45"/>
      <c r="N193" s="46"/>
      <c r="O193" s="45"/>
      <c r="P193" s="2"/>
      <c r="Q193" s="2"/>
      <c r="R193" s="2"/>
      <c r="S193" s="2"/>
      <c r="T193" s="2"/>
      <c r="U193" s="47" t="str">
        <f aca="false">IF($G193="","",IF($G193&lt;0,IF(N($U192)=0,1,$U192+1),0))</f>
        <v/>
      </c>
      <c r="V193" s="47" t="str">
        <f aca="false">IF($G193="","",IF($V192="",'Empieza aquí'!$D$8,$V192)+$G193)</f>
        <v/>
      </c>
      <c r="W193" s="47" t="str">
        <f aca="false">IF($V193="","",MAX(IF($W192="",'Empieza aquí'!$D$8,$W192),$V193))</f>
        <v/>
      </c>
      <c r="X193" s="47" t="str">
        <f aca="false">IF($V193="","",$V193-$W193)</f>
        <v/>
      </c>
      <c r="Y193" s="3"/>
      <c r="Z193" s="3"/>
      <c r="AA193" s="3"/>
      <c r="AB193" s="3"/>
      <c r="AC193" s="3"/>
      <c r="AD193" s="3"/>
      <c r="AE193" s="3"/>
      <c r="AF193" s="3"/>
      <c r="AG193" s="3"/>
      <c r="AH193" s="3"/>
    </row>
    <row r="194" customFormat="false" ht="15" hidden="false" customHeight="true" outlineLevel="0" collapsed="false">
      <c r="A194" s="2"/>
      <c r="B194" s="36"/>
      <c r="C194" s="37"/>
      <c r="D194" s="37"/>
      <c r="E194" s="38"/>
      <c r="F194" s="39"/>
      <c r="G194" s="40" t="str">
        <f aca="false">IF(OR($E194="",$C194="",$D194=""),"",$E194*$D194*IFERROR(INDEX(Listas!$C$6:$C$20,MATCH($C194,Listas!$B$6:$B$20,0)),0)-$D194*IFERROR(INDEX(Listas!$D$6:$D$20,MATCH($C194,Listas!$B$6:$B$20,0)),0))</f>
        <v/>
      </c>
      <c r="H194" s="41" t="str">
        <f aca="false">IF(OR($F194="",$C194="",$D194=""),"",ABS($F194)*$D194*IFERROR(INDEX(Listas!$C$6:$C$20,MATCH($C194,Listas!$B$6:$B$20,0)),0))</f>
        <v/>
      </c>
      <c r="I194" s="42" t="str">
        <f aca="false">IF(OR($E194="",$F194="",$F194=0),"",$E194/ABS($F194))</f>
        <v/>
      </c>
      <c r="J194" s="43" t="str">
        <f aca="false">IF($B194="","",INDEX(Listas!$G$6:$G$12,WEEKDAY($B194,1)))</f>
        <v/>
      </c>
      <c r="K194" s="43" t="str">
        <f aca="false">IFERROR(IF($L194="","",TEXT(IF($L194&lt;1,HOUR($L194),INT($L194)),"00")&amp;":00"),"")</f>
        <v/>
      </c>
      <c r="L194" s="44"/>
      <c r="M194" s="45"/>
      <c r="N194" s="46"/>
      <c r="O194" s="45"/>
      <c r="P194" s="2"/>
      <c r="Q194" s="2"/>
      <c r="R194" s="2"/>
      <c r="S194" s="2"/>
      <c r="T194" s="2"/>
      <c r="U194" s="47" t="str">
        <f aca="false">IF($G194="","",IF($G194&lt;0,IF(N($U193)=0,1,$U193+1),0))</f>
        <v/>
      </c>
      <c r="V194" s="47" t="str">
        <f aca="false">IF($G194="","",IF($V193="",'Empieza aquí'!$D$8,$V193)+$G194)</f>
        <v/>
      </c>
      <c r="W194" s="47" t="str">
        <f aca="false">IF($V194="","",MAX(IF($W193="",'Empieza aquí'!$D$8,$W193),$V194))</f>
        <v/>
      </c>
      <c r="X194" s="47" t="str">
        <f aca="false">IF($V194="","",$V194-$W194)</f>
        <v/>
      </c>
      <c r="Y194" s="3"/>
      <c r="Z194" s="3"/>
      <c r="AA194" s="3"/>
      <c r="AB194" s="3"/>
      <c r="AC194" s="3"/>
      <c r="AD194" s="3"/>
      <c r="AE194" s="3"/>
      <c r="AF194" s="3"/>
      <c r="AG194" s="3"/>
      <c r="AH194" s="3"/>
    </row>
    <row r="195" customFormat="false" ht="15" hidden="false" customHeight="true" outlineLevel="0" collapsed="false">
      <c r="A195" s="2"/>
      <c r="B195" s="36"/>
      <c r="C195" s="37"/>
      <c r="D195" s="37"/>
      <c r="E195" s="38"/>
      <c r="F195" s="39"/>
      <c r="G195" s="40" t="str">
        <f aca="false">IF(OR($E195="",$C195="",$D195=""),"",$E195*$D195*IFERROR(INDEX(Listas!$C$6:$C$20,MATCH($C195,Listas!$B$6:$B$20,0)),0)-$D195*IFERROR(INDEX(Listas!$D$6:$D$20,MATCH($C195,Listas!$B$6:$B$20,0)),0))</f>
        <v/>
      </c>
      <c r="H195" s="41" t="str">
        <f aca="false">IF(OR($F195="",$C195="",$D195=""),"",ABS($F195)*$D195*IFERROR(INDEX(Listas!$C$6:$C$20,MATCH($C195,Listas!$B$6:$B$20,0)),0))</f>
        <v/>
      </c>
      <c r="I195" s="42" t="str">
        <f aca="false">IF(OR($E195="",$F195="",$F195=0),"",$E195/ABS($F195))</f>
        <v/>
      </c>
      <c r="J195" s="43" t="str">
        <f aca="false">IF($B195="","",INDEX(Listas!$G$6:$G$12,WEEKDAY($B195,1)))</f>
        <v/>
      </c>
      <c r="K195" s="43" t="str">
        <f aca="false">IFERROR(IF($L195="","",TEXT(IF($L195&lt;1,HOUR($L195),INT($L195)),"00")&amp;":00"),"")</f>
        <v/>
      </c>
      <c r="L195" s="44"/>
      <c r="M195" s="45"/>
      <c r="N195" s="46"/>
      <c r="O195" s="45"/>
      <c r="P195" s="2"/>
      <c r="Q195" s="2"/>
      <c r="R195" s="2"/>
      <c r="S195" s="2"/>
      <c r="T195" s="2"/>
      <c r="U195" s="47" t="str">
        <f aca="false">IF($G195="","",IF($G195&lt;0,IF(N($U194)=0,1,$U194+1),0))</f>
        <v/>
      </c>
      <c r="V195" s="47" t="str">
        <f aca="false">IF($G195="","",IF($V194="",'Empieza aquí'!$D$8,$V194)+$G195)</f>
        <v/>
      </c>
      <c r="W195" s="47" t="str">
        <f aca="false">IF($V195="","",MAX(IF($W194="",'Empieza aquí'!$D$8,$W194),$V195))</f>
        <v/>
      </c>
      <c r="X195" s="47" t="str">
        <f aca="false">IF($V195="","",$V195-$W195)</f>
        <v/>
      </c>
      <c r="Y195" s="3"/>
      <c r="Z195" s="3"/>
      <c r="AA195" s="3"/>
      <c r="AB195" s="3"/>
      <c r="AC195" s="3"/>
      <c r="AD195" s="3"/>
      <c r="AE195" s="3"/>
      <c r="AF195" s="3"/>
      <c r="AG195" s="3"/>
      <c r="AH195" s="3"/>
    </row>
    <row r="196" customFormat="false" ht="15" hidden="false" customHeight="true" outlineLevel="0" collapsed="false">
      <c r="A196" s="2"/>
      <c r="B196" s="36"/>
      <c r="C196" s="37"/>
      <c r="D196" s="37"/>
      <c r="E196" s="38"/>
      <c r="F196" s="39"/>
      <c r="G196" s="40" t="str">
        <f aca="false">IF(OR($E196="",$C196="",$D196=""),"",$E196*$D196*IFERROR(INDEX(Listas!$C$6:$C$20,MATCH($C196,Listas!$B$6:$B$20,0)),0)-$D196*IFERROR(INDEX(Listas!$D$6:$D$20,MATCH($C196,Listas!$B$6:$B$20,0)),0))</f>
        <v/>
      </c>
      <c r="H196" s="41" t="str">
        <f aca="false">IF(OR($F196="",$C196="",$D196=""),"",ABS($F196)*$D196*IFERROR(INDEX(Listas!$C$6:$C$20,MATCH($C196,Listas!$B$6:$B$20,0)),0))</f>
        <v/>
      </c>
      <c r="I196" s="42" t="str">
        <f aca="false">IF(OR($E196="",$F196="",$F196=0),"",$E196/ABS($F196))</f>
        <v/>
      </c>
      <c r="J196" s="43" t="str">
        <f aca="false">IF($B196="","",INDEX(Listas!$G$6:$G$12,WEEKDAY($B196,1)))</f>
        <v/>
      </c>
      <c r="K196" s="43" t="str">
        <f aca="false">IFERROR(IF($L196="","",TEXT(IF($L196&lt;1,HOUR($L196),INT($L196)),"00")&amp;":00"),"")</f>
        <v/>
      </c>
      <c r="L196" s="44"/>
      <c r="M196" s="45"/>
      <c r="N196" s="46"/>
      <c r="O196" s="45"/>
      <c r="P196" s="2"/>
      <c r="Q196" s="2"/>
      <c r="R196" s="2"/>
      <c r="S196" s="2"/>
      <c r="T196" s="2"/>
      <c r="U196" s="47" t="str">
        <f aca="false">IF($G196="","",IF($G196&lt;0,IF(N($U195)=0,1,$U195+1),0))</f>
        <v/>
      </c>
      <c r="V196" s="47" t="str">
        <f aca="false">IF($G196="","",IF($V195="",'Empieza aquí'!$D$8,$V195)+$G196)</f>
        <v/>
      </c>
      <c r="W196" s="47" t="str">
        <f aca="false">IF($V196="","",MAX(IF($W195="",'Empieza aquí'!$D$8,$W195),$V196))</f>
        <v/>
      </c>
      <c r="X196" s="47" t="str">
        <f aca="false">IF($V196="","",$V196-$W196)</f>
        <v/>
      </c>
      <c r="Y196" s="3"/>
      <c r="Z196" s="3"/>
      <c r="AA196" s="3"/>
      <c r="AB196" s="3"/>
      <c r="AC196" s="3"/>
      <c r="AD196" s="3"/>
      <c r="AE196" s="3"/>
      <c r="AF196" s="3"/>
      <c r="AG196" s="3"/>
      <c r="AH196" s="3"/>
    </row>
    <row r="197" customFormat="false" ht="15" hidden="false" customHeight="true" outlineLevel="0" collapsed="false">
      <c r="A197" s="2"/>
      <c r="B197" s="36"/>
      <c r="C197" s="37"/>
      <c r="D197" s="37"/>
      <c r="E197" s="38"/>
      <c r="F197" s="39"/>
      <c r="G197" s="40" t="str">
        <f aca="false">IF(OR($E197="",$C197="",$D197=""),"",$E197*$D197*IFERROR(INDEX(Listas!$C$6:$C$20,MATCH($C197,Listas!$B$6:$B$20,0)),0)-$D197*IFERROR(INDEX(Listas!$D$6:$D$20,MATCH($C197,Listas!$B$6:$B$20,0)),0))</f>
        <v/>
      </c>
      <c r="H197" s="41" t="str">
        <f aca="false">IF(OR($F197="",$C197="",$D197=""),"",ABS($F197)*$D197*IFERROR(INDEX(Listas!$C$6:$C$20,MATCH($C197,Listas!$B$6:$B$20,0)),0))</f>
        <v/>
      </c>
      <c r="I197" s="42" t="str">
        <f aca="false">IF(OR($E197="",$F197="",$F197=0),"",$E197/ABS($F197))</f>
        <v/>
      </c>
      <c r="J197" s="43" t="str">
        <f aca="false">IF($B197="","",INDEX(Listas!$G$6:$G$12,WEEKDAY($B197,1)))</f>
        <v/>
      </c>
      <c r="K197" s="43" t="str">
        <f aca="false">IFERROR(IF($L197="","",TEXT(IF($L197&lt;1,HOUR($L197),INT($L197)),"00")&amp;":00"),"")</f>
        <v/>
      </c>
      <c r="L197" s="44"/>
      <c r="M197" s="45"/>
      <c r="N197" s="46"/>
      <c r="O197" s="45"/>
      <c r="P197" s="2"/>
      <c r="Q197" s="2"/>
      <c r="R197" s="2"/>
      <c r="S197" s="2"/>
      <c r="T197" s="2"/>
      <c r="U197" s="47" t="str">
        <f aca="false">IF($G197="","",IF($G197&lt;0,IF(N($U196)=0,1,$U196+1),0))</f>
        <v/>
      </c>
      <c r="V197" s="47" t="str">
        <f aca="false">IF($G197="","",IF($V196="",'Empieza aquí'!$D$8,$V196)+$G197)</f>
        <v/>
      </c>
      <c r="W197" s="47" t="str">
        <f aca="false">IF($V197="","",MAX(IF($W196="",'Empieza aquí'!$D$8,$W196),$V197))</f>
        <v/>
      </c>
      <c r="X197" s="47" t="str">
        <f aca="false">IF($V197="","",$V197-$W197)</f>
        <v/>
      </c>
      <c r="Y197" s="3"/>
      <c r="Z197" s="3"/>
      <c r="AA197" s="3"/>
      <c r="AB197" s="3"/>
      <c r="AC197" s="3"/>
      <c r="AD197" s="3"/>
      <c r="AE197" s="3"/>
      <c r="AF197" s="3"/>
      <c r="AG197" s="3"/>
      <c r="AH197" s="3"/>
    </row>
    <row r="198" customFormat="false" ht="15" hidden="false" customHeight="true" outlineLevel="0" collapsed="false">
      <c r="A198" s="2"/>
      <c r="B198" s="36"/>
      <c r="C198" s="37"/>
      <c r="D198" s="37"/>
      <c r="E198" s="38"/>
      <c r="F198" s="39"/>
      <c r="G198" s="40" t="str">
        <f aca="false">IF(OR($E198="",$C198="",$D198=""),"",$E198*$D198*IFERROR(INDEX(Listas!$C$6:$C$20,MATCH($C198,Listas!$B$6:$B$20,0)),0)-$D198*IFERROR(INDEX(Listas!$D$6:$D$20,MATCH($C198,Listas!$B$6:$B$20,0)),0))</f>
        <v/>
      </c>
      <c r="H198" s="41" t="str">
        <f aca="false">IF(OR($F198="",$C198="",$D198=""),"",ABS($F198)*$D198*IFERROR(INDEX(Listas!$C$6:$C$20,MATCH($C198,Listas!$B$6:$B$20,0)),0))</f>
        <v/>
      </c>
      <c r="I198" s="42" t="str">
        <f aca="false">IF(OR($E198="",$F198="",$F198=0),"",$E198/ABS($F198))</f>
        <v/>
      </c>
      <c r="J198" s="43" t="str">
        <f aca="false">IF($B198="","",INDEX(Listas!$G$6:$G$12,WEEKDAY($B198,1)))</f>
        <v/>
      </c>
      <c r="K198" s="43" t="str">
        <f aca="false">IFERROR(IF($L198="","",TEXT(IF($L198&lt;1,HOUR($L198),INT($L198)),"00")&amp;":00"),"")</f>
        <v/>
      </c>
      <c r="L198" s="44"/>
      <c r="M198" s="45"/>
      <c r="N198" s="46"/>
      <c r="O198" s="45"/>
      <c r="P198" s="2"/>
      <c r="Q198" s="2"/>
      <c r="R198" s="2"/>
      <c r="S198" s="2"/>
      <c r="T198" s="2"/>
      <c r="U198" s="47" t="str">
        <f aca="false">IF($G198="","",IF($G198&lt;0,IF(N($U197)=0,1,$U197+1),0))</f>
        <v/>
      </c>
      <c r="V198" s="47" t="str">
        <f aca="false">IF($G198="","",IF($V197="",'Empieza aquí'!$D$8,$V197)+$G198)</f>
        <v/>
      </c>
      <c r="W198" s="47" t="str">
        <f aca="false">IF($V198="","",MAX(IF($W197="",'Empieza aquí'!$D$8,$W197),$V198))</f>
        <v/>
      </c>
      <c r="X198" s="47" t="str">
        <f aca="false">IF($V198="","",$V198-$W198)</f>
        <v/>
      </c>
      <c r="Y198" s="3"/>
      <c r="Z198" s="3"/>
      <c r="AA198" s="3"/>
      <c r="AB198" s="3"/>
      <c r="AC198" s="3"/>
      <c r="AD198" s="3"/>
      <c r="AE198" s="3"/>
      <c r="AF198" s="3"/>
      <c r="AG198" s="3"/>
      <c r="AH198" s="3"/>
    </row>
    <row r="199" customFormat="false" ht="15" hidden="false" customHeight="true" outlineLevel="0" collapsed="false">
      <c r="A199" s="2"/>
      <c r="B199" s="36"/>
      <c r="C199" s="37"/>
      <c r="D199" s="37"/>
      <c r="E199" s="38"/>
      <c r="F199" s="39"/>
      <c r="G199" s="40" t="str">
        <f aca="false">IF(OR($E199="",$C199="",$D199=""),"",$E199*$D199*IFERROR(INDEX(Listas!$C$6:$C$20,MATCH($C199,Listas!$B$6:$B$20,0)),0)-$D199*IFERROR(INDEX(Listas!$D$6:$D$20,MATCH($C199,Listas!$B$6:$B$20,0)),0))</f>
        <v/>
      </c>
      <c r="H199" s="41" t="str">
        <f aca="false">IF(OR($F199="",$C199="",$D199=""),"",ABS($F199)*$D199*IFERROR(INDEX(Listas!$C$6:$C$20,MATCH($C199,Listas!$B$6:$B$20,0)),0))</f>
        <v/>
      </c>
      <c r="I199" s="42" t="str">
        <f aca="false">IF(OR($E199="",$F199="",$F199=0),"",$E199/ABS($F199))</f>
        <v/>
      </c>
      <c r="J199" s="43" t="str">
        <f aca="false">IF($B199="","",INDEX(Listas!$G$6:$G$12,WEEKDAY($B199,1)))</f>
        <v/>
      </c>
      <c r="K199" s="43" t="str">
        <f aca="false">IFERROR(IF($L199="","",TEXT(IF($L199&lt;1,HOUR($L199),INT($L199)),"00")&amp;":00"),"")</f>
        <v/>
      </c>
      <c r="L199" s="44"/>
      <c r="M199" s="45"/>
      <c r="N199" s="46"/>
      <c r="O199" s="45"/>
      <c r="P199" s="2"/>
      <c r="Q199" s="2"/>
      <c r="R199" s="2"/>
      <c r="S199" s="2"/>
      <c r="T199" s="2"/>
      <c r="U199" s="47" t="str">
        <f aca="false">IF($G199="","",IF($G199&lt;0,IF(N($U198)=0,1,$U198+1),0))</f>
        <v/>
      </c>
      <c r="V199" s="47" t="str">
        <f aca="false">IF($G199="","",IF($V198="",'Empieza aquí'!$D$8,$V198)+$G199)</f>
        <v/>
      </c>
      <c r="W199" s="47" t="str">
        <f aca="false">IF($V199="","",MAX(IF($W198="",'Empieza aquí'!$D$8,$W198),$V199))</f>
        <v/>
      </c>
      <c r="X199" s="47" t="str">
        <f aca="false">IF($V199="","",$V199-$W199)</f>
        <v/>
      </c>
      <c r="Y199" s="3"/>
      <c r="Z199" s="3"/>
      <c r="AA199" s="3"/>
      <c r="AB199" s="3"/>
      <c r="AC199" s="3"/>
      <c r="AD199" s="3"/>
      <c r="AE199" s="3"/>
      <c r="AF199" s="3"/>
      <c r="AG199" s="3"/>
      <c r="AH199" s="3"/>
    </row>
    <row r="200" customFormat="false" ht="15" hidden="false" customHeight="true" outlineLevel="0" collapsed="false">
      <c r="A200" s="2"/>
      <c r="B200" s="36"/>
      <c r="C200" s="37"/>
      <c r="D200" s="37"/>
      <c r="E200" s="38"/>
      <c r="F200" s="39"/>
      <c r="G200" s="40" t="str">
        <f aca="false">IF(OR($E200="",$C200="",$D200=""),"",$E200*$D200*IFERROR(INDEX(Listas!$C$6:$C$20,MATCH($C200,Listas!$B$6:$B$20,0)),0)-$D200*IFERROR(INDEX(Listas!$D$6:$D$20,MATCH($C200,Listas!$B$6:$B$20,0)),0))</f>
        <v/>
      </c>
      <c r="H200" s="41" t="str">
        <f aca="false">IF(OR($F200="",$C200="",$D200=""),"",ABS($F200)*$D200*IFERROR(INDEX(Listas!$C$6:$C$20,MATCH($C200,Listas!$B$6:$B$20,0)),0))</f>
        <v/>
      </c>
      <c r="I200" s="42" t="str">
        <f aca="false">IF(OR($E200="",$F200="",$F200=0),"",$E200/ABS($F200))</f>
        <v/>
      </c>
      <c r="J200" s="43" t="str">
        <f aca="false">IF($B200="","",INDEX(Listas!$G$6:$G$12,WEEKDAY($B200,1)))</f>
        <v/>
      </c>
      <c r="K200" s="43" t="str">
        <f aca="false">IFERROR(IF($L200="","",TEXT(IF($L200&lt;1,HOUR($L200),INT($L200)),"00")&amp;":00"),"")</f>
        <v/>
      </c>
      <c r="L200" s="44"/>
      <c r="M200" s="45"/>
      <c r="N200" s="46"/>
      <c r="O200" s="45"/>
      <c r="P200" s="2"/>
      <c r="Q200" s="2"/>
      <c r="R200" s="2"/>
      <c r="S200" s="2"/>
      <c r="T200" s="2"/>
      <c r="U200" s="47" t="str">
        <f aca="false">IF($G200="","",IF($G200&lt;0,IF(N($U199)=0,1,$U199+1),0))</f>
        <v/>
      </c>
      <c r="V200" s="47" t="str">
        <f aca="false">IF($G200="","",IF($V199="",'Empieza aquí'!$D$8,$V199)+$G200)</f>
        <v/>
      </c>
      <c r="W200" s="47" t="str">
        <f aca="false">IF($V200="","",MAX(IF($W199="",'Empieza aquí'!$D$8,$W199),$V200))</f>
        <v/>
      </c>
      <c r="X200" s="47" t="str">
        <f aca="false">IF($V200="","",$V200-$W200)</f>
        <v/>
      </c>
      <c r="Y200" s="3"/>
      <c r="Z200" s="3"/>
      <c r="AA200" s="3"/>
      <c r="AB200" s="3"/>
      <c r="AC200" s="3"/>
      <c r="AD200" s="3"/>
      <c r="AE200" s="3"/>
      <c r="AF200" s="3"/>
      <c r="AG200" s="3"/>
      <c r="AH200" s="3"/>
    </row>
    <row r="201" customFormat="false" ht="15" hidden="false" customHeight="true" outlineLevel="0" collapsed="false">
      <c r="A201" s="2"/>
      <c r="B201" s="36"/>
      <c r="C201" s="37"/>
      <c r="D201" s="37"/>
      <c r="E201" s="38"/>
      <c r="F201" s="39"/>
      <c r="G201" s="40" t="str">
        <f aca="false">IF(OR($E201="",$C201="",$D201=""),"",$E201*$D201*IFERROR(INDEX(Listas!$C$6:$C$20,MATCH($C201,Listas!$B$6:$B$20,0)),0)-$D201*IFERROR(INDEX(Listas!$D$6:$D$20,MATCH($C201,Listas!$B$6:$B$20,0)),0))</f>
        <v/>
      </c>
      <c r="H201" s="41" t="str">
        <f aca="false">IF(OR($F201="",$C201="",$D201=""),"",ABS($F201)*$D201*IFERROR(INDEX(Listas!$C$6:$C$20,MATCH($C201,Listas!$B$6:$B$20,0)),0))</f>
        <v/>
      </c>
      <c r="I201" s="42" t="str">
        <f aca="false">IF(OR($E201="",$F201="",$F201=0),"",$E201/ABS($F201))</f>
        <v/>
      </c>
      <c r="J201" s="43" t="str">
        <f aca="false">IF($B201="","",INDEX(Listas!$G$6:$G$12,WEEKDAY($B201,1)))</f>
        <v/>
      </c>
      <c r="K201" s="43" t="str">
        <f aca="false">IFERROR(IF($L201="","",TEXT(IF($L201&lt;1,HOUR($L201),INT($L201)),"00")&amp;":00"),"")</f>
        <v/>
      </c>
      <c r="L201" s="44"/>
      <c r="M201" s="45"/>
      <c r="N201" s="46"/>
      <c r="O201" s="45"/>
      <c r="P201" s="2"/>
      <c r="Q201" s="2"/>
      <c r="R201" s="2"/>
      <c r="S201" s="2"/>
      <c r="T201" s="2"/>
      <c r="U201" s="47" t="str">
        <f aca="false">IF($G201="","",IF($G201&lt;0,IF(N($U200)=0,1,$U200+1),0))</f>
        <v/>
      </c>
      <c r="V201" s="47" t="str">
        <f aca="false">IF($G201="","",IF($V200="",'Empieza aquí'!$D$8,$V200)+$G201)</f>
        <v/>
      </c>
      <c r="W201" s="47" t="str">
        <f aca="false">IF($V201="","",MAX(IF($W200="",'Empieza aquí'!$D$8,$W200),$V201))</f>
        <v/>
      </c>
      <c r="X201" s="47" t="str">
        <f aca="false">IF($V201="","",$V201-$W201)</f>
        <v/>
      </c>
      <c r="Y201" s="3"/>
      <c r="Z201" s="3"/>
      <c r="AA201" s="3"/>
      <c r="AB201" s="3"/>
      <c r="AC201" s="3"/>
      <c r="AD201" s="3"/>
      <c r="AE201" s="3"/>
      <c r="AF201" s="3"/>
      <c r="AG201" s="3"/>
      <c r="AH201" s="3"/>
    </row>
    <row r="202" customFormat="false" ht="15" hidden="false" customHeight="true" outlineLevel="0" collapsed="false">
      <c r="A202" s="2"/>
      <c r="B202" s="36"/>
      <c r="C202" s="37"/>
      <c r="D202" s="37"/>
      <c r="E202" s="38"/>
      <c r="F202" s="39"/>
      <c r="G202" s="40" t="str">
        <f aca="false">IF(OR($E202="",$C202="",$D202=""),"",$E202*$D202*IFERROR(INDEX(Listas!$C$6:$C$20,MATCH($C202,Listas!$B$6:$B$20,0)),0)-$D202*IFERROR(INDEX(Listas!$D$6:$D$20,MATCH($C202,Listas!$B$6:$B$20,0)),0))</f>
        <v/>
      </c>
      <c r="H202" s="41" t="str">
        <f aca="false">IF(OR($F202="",$C202="",$D202=""),"",ABS($F202)*$D202*IFERROR(INDEX(Listas!$C$6:$C$20,MATCH($C202,Listas!$B$6:$B$20,0)),0))</f>
        <v/>
      </c>
      <c r="I202" s="42" t="str">
        <f aca="false">IF(OR($E202="",$F202="",$F202=0),"",$E202/ABS($F202))</f>
        <v/>
      </c>
      <c r="J202" s="43" t="str">
        <f aca="false">IF($B202="","",INDEX(Listas!$G$6:$G$12,WEEKDAY($B202,1)))</f>
        <v/>
      </c>
      <c r="K202" s="43" t="str">
        <f aca="false">IFERROR(IF($L202="","",TEXT(IF($L202&lt;1,HOUR($L202),INT($L202)),"00")&amp;":00"),"")</f>
        <v/>
      </c>
      <c r="L202" s="44"/>
      <c r="M202" s="45"/>
      <c r="N202" s="46"/>
      <c r="O202" s="45"/>
      <c r="P202" s="2"/>
      <c r="Q202" s="2"/>
      <c r="R202" s="2"/>
      <c r="S202" s="2"/>
      <c r="T202" s="2"/>
      <c r="U202" s="47" t="str">
        <f aca="false">IF($G202="","",IF($G202&lt;0,IF(N($U201)=0,1,$U201+1),0))</f>
        <v/>
      </c>
      <c r="V202" s="47" t="str">
        <f aca="false">IF($G202="","",IF($V201="",'Empieza aquí'!$D$8,$V201)+$G202)</f>
        <v/>
      </c>
      <c r="W202" s="47" t="str">
        <f aca="false">IF($V202="","",MAX(IF($W201="",'Empieza aquí'!$D$8,$W201),$V202))</f>
        <v/>
      </c>
      <c r="X202" s="47" t="str">
        <f aca="false">IF($V202="","",$V202-$W202)</f>
        <v/>
      </c>
      <c r="Y202" s="3"/>
      <c r="Z202" s="3"/>
      <c r="AA202" s="3"/>
      <c r="AB202" s="3"/>
      <c r="AC202" s="3"/>
      <c r="AD202" s="3"/>
      <c r="AE202" s="3"/>
      <c r="AF202" s="3"/>
      <c r="AG202" s="3"/>
      <c r="AH202" s="3"/>
    </row>
    <row r="203" customFormat="false" ht="15" hidden="false" customHeight="true" outlineLevel="0" collapsed="false">
      <c r="A203" s="2"/>
      <c r="B203" s="36"/>
      <c r="C203" s="37"/>
      <c r="D203" s="37"/>
      <c r="E203" s="38"/>
      <c r="F203" s="39"/>
      <c r="G203" s="40" t="str">
        <f aca="false">IF(OR($E203="",$C203="",$D203=""),"",$E203*$D203*IFERROR(INDEX(Listas!$C$6:$C$20,MATCH($C203,Listas!$B$6:$B$20,0)),0)-$D203*IFERROR(INDEX(Listas!$D$6:$D$20,MATCH($C203,Listas!$B$6:$B$20,0)),0))</f>
        <v/>
      </c>
      <c r="H203" s="41" t="str">
        <f aca="false">IF(OR($F203="",$C203="",$D203=""),"",ABS($F203)*$D203*IFERROR(INDEX(Listas!$C$6:$C$20,MATCH($C203,Listas!$B$6:$B$20,0)),0))</f>
        <v/>
      </c>
      <c r="I203" s="42" t="str">
        <f aca="false">IF(OR($E203="",$F203="",$F203=0),"",$E203/ABS($F203))</f>
        <v/>
      </c>
      <c r="J203" s="43" t="str">
        <f aca="false">IF($B203="","",INDEX(Listas!$G$6:$G$12,WEEKDAY($B203,1)))</f>
        <v/>
      </c>
      <c r="K203" s="43" t="str">
        <f aca="false">IFERROR(IF($L203="","",TEXT(IF($L203&lt;1,HOUR($L203),INT($L203)),"00")&amp;":00"),"")</f>
        <v/>
      </c>
      <c r="L203" s="44"/>
      <c r="M203" s="45"/>
      <c r="N203" s="46"/>
      <c r="O203" s="45"/>
      <c r="P203" s="2"/>
      <c r="Q203" s="2"/>
      <c r="R203" s="2"/>
      <c r="S203" s="2"/>
      <c r="T203" s="2"/>
      <c r="U203" s="47" t="str">
        <f aca="false">IF($G203="","",IF($G203&lt;0,IF(N($U202)=0,1,$U202+1),0))</f>
        <v/>
      </c>
      <c r="V203" s="47" t="str">
        <f aca="false">IF($G203="","",IF($V202="",'Empieza aquí'!$D$8,$V202)+$G203)</f>
        <v/>
      </c>
      <c r="W203" s="47" t="str">
        <f aca="false">IF($V203="","",MAX(IF($W202="",'Empieza aquí'!$D$8,$W202),$V203))</f>
        <v/>
      </c>
      <c r="X203" s="47" t="str">
        <f aca="false">IF($V203="","",$V203-$W203)</f>
        <v/>
      </c>
      <c r="Y203" s="3"/>
      <c r="Z203" s="3"/>
      <c r="AA203" s="3"/>
      <c r="AB203" s="3"/>
      <c r="AC203" s="3"/>
      <c r="AD203" s="3"/>
      <c r="AE203" s="3"/>
      <c r="AF203" s="3"/>
      <c r="AG203" s="3"/>
      <c r="AH203" s="3"/>
    </row>
    <row r="204" customFormat="false" ht="15" hidden="false" customHeight="true" outlineLevel="0" collapsed="false">
      <c r="A204" s="2"/>
      <c r="B204" s="36"/>
      <c r="C204" s="37"/>
      <c r="D204" s="37"/>
      <c r="E204" s="38"/>
      <c r="F204" s="39"/>
      <c r="G204" s="40" t="str">
        <f aca="false">IF(OR($E204="",$C204="",$D204=""),"",$E204*$D204*IFERROR(INDEX(Listas!$C$6:$C$20,MATCH($C204,Listas!$B$6:$B$20,0)),0)-$D204*IFERROR(INDEX(Listas!$D$6:$D$20,MATCH($C204,Listas!$B$6:$B$20,0)),0))</f>
        <v/>
      </c>
      <c r="H204" s="41" t="str">
        <f aca="false">IF(OR($F204="",$C204="",$D204=""),"",ABS($F204)*$D204*IFERROR(INDEX(Listas!$C$6:$C$20,MATCH($C204,Listas!$B$6:$B$20,0)),0))</f>
        <v/>
      </c>
      <c r="I204" s="42" t="str">
        <f aca="false">IF(OR($E204="",$F204="",$F204=0),"",$E204/ABS($F204))</f>
        <v/>
      </c>
      <c r="J204" s="43" t="str">
        <f aca="false">IF($B204="","",INDEX(Listas!$G$6:$G$12,WEEKDAY($B204,1)))</f>
        <v/>
      </c>
      <c r="K204" s="43" t="str">
        <f aca="false">IFERROR(IF($L204="","",TEXT(IF($L204&lt;1,HOUR($L204),INT($L204)),"00")&amp;":00"),"")</f>
        <v/>
      </c>
      <c r="L204" s="44"/>
      <c r="M204" s="45"/>
      <c r="N204" s="46"/>
      <c r="O204" s="45"/>
      <c r="P204" s="2"/>
      <c r="Q204" s="2"/>
      <c r="R204" s="2"/>
      <c r="S204" s="2"/>
      <c r="T204" s="2"/>
      <c r="U204" s="47" t="str">
        <f aca="false">IF($G204="","",IF($G204&lt;0,IF(N($U203)=0,1,$U203+1),0))</f>
        <v/>
      </c>
      <c r="V204" s="47" t="str">
        <f aca="false">IF($G204="","",IF($V203="",'Empieza aquí'!$D$8,$V203)+$G204)</f>
        <v/>
      </c>
      <c r="W204" s="47" t="str">
        <f aca="false">IF($V204="","",MAX(IF($W203="",'Empieza aquí'!$D$8,$W203),$V204))</f>
        <v/>
      </c>
      <c r="X204" s="47" t="str">
        <f aca="false">IF($V204="","",$V204-$W204)</f>
        <v/>
      </c>
      <c r="Y204" s="3"/>
      <c r="Z204" s="3"/>
      <c r="AA204" s="3"/>
      <c r="AB204" s="3"/>
      <c r="AC204" s="3"/>
      <c r="AD204" s="3"/>
      <c r="AE204" s="3"/>
      <c r="AF204" s="3"/>
      <c r="AG204" s="3"/>
      <c r="AH204" s="3"/>
    </row>
    <row r="205" customFormat="false" ht="15" hidden="false" customHeight="true" outlineLevel="0" collapsed="false">
      <c r="A205" s="2"/>
      <c r="B205" s="36"/>
      <c r="C205" s="37"/>
      <c r="D205" s="37"/>
      <c r="E205" s="38"/>
      <c r="F205" s="39"/>
      <c r="G205" s="40" t="str">
        <f aca="false">IF(OR($E205="",$C205="",$D205=""),"",$E205*$D205*IFERROR(INDEX(Listas!$C$6:$C$20,MATCH($C205,Listas!$B$6:$B$20,0)),0)-$D205*IFERROR(INDEX(Listas!$D$6:$D$20,MATCH($C205,Listas!$B$6:$B$20,0)),0))</f>
        <v/>
      </c>
      <c r="H205" s="41" t="str">
        <f aca="false">IF(OR($F205="",$C205="",$D205=""),"",ABS($F205)*$D205*IFERROR(INDEX(Listas!$C$6:$C$20,MATCH($C205,Listas!$B$6:$B$20,0)),0))</f>
        <v/>
      </c>
      <c r="I205" s="42" t="str">
        <f aca="false">IF(OR($E205="",$F205="",$F205=0),"",$E205/ABS($F205))</f>
        <v/>
      </c>
      <c r="J205" s="43" t="str">
        <f aca="false">IF($B205="","",INDEX(Listas!$G$6:$G$12,WEEKDAY($B205,1)))</f>
        <v/>
      </c>
      <c r="K205" s="43" t="str">
        <f aca="false">IFERROR(IF($L205="","",TEXT(IF($L205&lt;1,HOUR($L205),INT($L205)),"00")&amp;":00"),"")</f>
        <v/>
      </c>
      <c r="L205" s="44"/>
      <c r="M205" s="45"/>
      <c r="N205" s="46"/>
      <c r="O205" s="45"/>
      <c r="P205" s="2"/>
      <c r="Q205" s="2"/>
      <c r="R205" s="2"/>
      <c r="S205" s="2"/>
      <c r="T205" s="2"/>
      <c r="U205" s="47" t="str">
        <f aca="false">IF($G205="","",IF($G205&lt;0,IF(N($U204)=0,1,$U204+1),0))</f>
        <v/>
      </c>
      <c r="V205" s="47" t="str">
        <f aca="false">IF($G205="","",IF($V204="",'Empieza aquí'!$D$8,$V204)+$G205)</f>
        <v/>
      </c>
      <c r="W205" s="47" t="str">
        <f aca="false">IF($V205="","",MAX(IF($W204="",'Empieza aquí'!$D$8,$W204),$V205))</f>
        <v/>
      </c>
      <c r="X205" s="47" t="str">
        <f aca="false">IF($V205="","",$V205-$W205)</f>
        <v/>
      </c>
      <c r="Y205" s="3"/>
      <c r="Z205" s="3"/>
      <c r="AA205" s="3"/>
      <c r="AB205" s="3"/>
      <c r="AC205" s="3"/>
      <c r="AD205" s="3"/>
      <c r="AE205" s="3"/>
      <c r="AF205" s="3"/>
      <c r="AG205" s="3"/>
      <c r="AH205" s="3"/>
    </row>
    <row r="206" customFormat="false" ht="15" hidden="false" customHeight="true" outlineLevel="0" collapsed="false">
      <c r="A206" s="2"/>
      <c r="B206" s="36"/>
      <c r="C206" s="37"/>
      <c r="D206" s="37"/>
      <c r="E206" s="38"/>
      <c r="F206" s="39"/>
      <c r="G206" s="40" t="str">
        <f aca="false">IF(OR($E206="",$C206="",$D206=""),"",$E206*$D206*IFERROR(INDEX(Listas!$C$6:$C$20,MATCH($C206,Listas!$B$6:$B$20,0)),0)-$D206*IFERROR(INDEX(Listas!$D$6:$D$20,MATCH($C206,Listas!$B$6:$B$20,0)),0))</f>
        <v/>
      </c>
      <c r="H206" s="41" t="str">
        <f aca="false">IF(OR($F206="",$C206="",$D206=""),"",ABS($F206)*$D206*IFERROR(INDEX(Listas!$C$6:$C$20,MATCH($C206,Listas!$B$6:$B$20,0)),0))</f>
        <v/>
      </c>
      <c r="I206" s="42" t="str">
        <f aca="false">IF(OR($E206="",$F206="",$F206=0),"",$E206/ABS($F206))</f>
        <v/>
      </c>
      <c r="J206" s="43" t="str">
        <f aca="false">IF($B206="","",INDEX(Listas!$G$6:$G$12,WEEKDAY($B206,1)))</f>
        <v/>
      </c>
      <c r="K206" s="43" t="str">
        <f aca="false">IFERROR(IF($L206="","",TEXT(IF($L206&lt;1,HOUR($L206),INT($L206)),"00")&amp;":00"),"")</f>
        <v/>
      </c>
      <c r="L206" s="44"/>
      <c r="M206" s="45"/>
      <c r="N206" s="46"/>
      <c r="O206" s="45"/>
      <c r="P206" s="2"/>
      <c r="Q206" s="2"/>
      <c r="R206" s="2"/>
      <c r="S206" s="2"/>
      <c r="T206" s="2"/>
      <c r="U206" s="47" t="str">
        <f aca="false">IF($G206="","",IF($G206&lt;0,IF(N($U205)=0,1,$U205+1),0))</f>
        <v/>
      </c>
      <c r="V206" s="47" t="str">
        <f aca="false">IF($G206="","",IF($V205="",'Empieza aquí'!$D$8,$V205)+$G206)</f>
        <v/>
      </c>
      <c r="W206" s="47" t="str">
        <f aca="false">IF($V206="","",MAX(IF($W205="",'Empieza aquí'!$D$8,$W205),$V206))</f>
        <v/>
      </c>
      <c r="X206" s="47" t="str">
        <f aca="false">IF($V206="","",$V206-$W206)</f>
        <v/>
      </c>
      <c r="Y206" s="3"/>
      <c r="Z206" s="3"/>
      <c r="AA206" s="3"/>
      <c r="AB206" s="3"/>
      <c r="AC206" s="3"/>
      <c r="AD206" s="3"/>
      <c r="AE206" s="3"/>
      <c r="AF206" s="3"/>
      <c r="AG206" s="3"/>
      <c r="AH206" s="3"/>
    </row>
    <row r="207" customFormat="false" ht="15" hidden="false" customHeight="true" outlineLevel="0" collapsed="false">
      <c r="A207" s="2"/>
      <c r="B207" s="36"/>
      <c r="C207" s="37"/>
      <c r="D207" s="37"/>
      <c r="E207" s="38"/>
      <c r="F207" s="39"/>
      <c r="G207" s="40" t="str">
        <f aca="false">IF(OR($E207="",$C207="",$D207=""),"",$E207*$D207*IFERROR(INDEX(Listas!$C$6:$C$20,MATCH($C207,Listas!$B$6:$B$20,0)),0)-$D207*IFERROR(INDEX(Listas!$D$6:$D$20,MATCH($C207,Listas!$B$6:$B$20,0)),0))</f>
        <v/>
      </c>
      <c r="H207" s="41" t="str">
        <f aca="false">IF(OR($F207="",$C207="",$D207=""),"",ABS($F207)*$D207*IFERROR(INDEX(Listas!$C$6:$C$20,MATCH($C207,Listas!$B$6:$B$20,0)),0))</f>
        <v/>
      </c>
      <c r="I207" s="42" t="str">
        <f aca="false">IF(OR($E207="",$F207="",$F207=0),"",$E207/ABS($F207))</f>
        <v/>
      </c>
      <c r="J207" s="43" t="str">
        <f aca="false">IF($B207="","",INDEX(Listas!$G$6:$G$12,WEEKDAY($B207,1)))</f>
        <v/>
      </c>
      <c r="K207" s="43" t="str">
        <f aca="false">IFERROR(IF($L207="","",TEXT(IF($L207&lt;1,HOUR($L207),INT($L207)),"00")&amp;":00"),"")</f>
        <v/>
      </c>
      <c r="L207" s="44"/>
      <c r="M207" s="45"/>
      <c r="N207" s="46"/>
      <c r="O207" s="45"/>
      <c r="P207" s="2"/>
      <c r="Q207" s="2"/>
      <c r="R207" s="2"/>
      <c r="S207" s="2"/>
      <c r="T207" s="2"/>
      <c r="U207" s="47" t="str">
        <f aca="false">IF($G207="","",IF($G207&lt;0,IF(N($U206)=0,1,$U206+1),0))</f>
        <v/>
      </c>
      <c r="V207" s="47" t="str">
        <f aca="false">IF($G207="","",IF($V206="",'Empieza aquí'!$D$8,$V206)+$G207)</f>
        <v/>
      </c>
      <c r="W207" s="47" t="str">
        <f aca="false">IF($V207="","",MAX(IF($W206="",'Empieza aquí'!$D$8,$W206),$V207))</f>
        <v/>
      </c>
      <c r="X207" s="47" t="str">
        <f aca="false">IF($V207="","",$V207-$W207)</f>
        <v/>
      </c>
      <c r="Y207" s="3"/>
      <c r="Z207" s="3"/>
      <c r="AA207" s="3"/>
      <c r="AB207" s="3"/>
      <c r="AC207" s="3"/>
      <c r="AD207" s="3"/>
      <c r="AE207" s="3"/>
      <c r="AF207" s="3"/>
      <c r="AG207" s="3"/>
      <c r="AH207" s="3"/>
    </row>
    <row r="208" customFormat="false" ht="15" hidden="false" customHeight="true" outlineLevel="0" collapsed="false">
      <c r="A208" s="2"/>
      <c r="B208" s="36"/>
      <c r="C208" s="37"/>
      <c r="D208" s="37"/>
      <c r="E208" s="38"/>
      <c r="F208" s="39"/>
      <c r="G208" s="40" t="str">
        <f aca="false">IF(OR($E208="",$C208="",$D208=""),"",$E208*$D208*IFERROR(INDEX(Listas!$C$6:$C$20,MATCH($C208,Listas!$B$6:$B$20,0)),0)-$D208*IFERROR(INDEX(Listas!$D$6:$D$20,MATCH($C208,Listas!$B$6:$B$20,0)),0))</f>
        <v/>
      </c>
      <c r="H208" s="41" t="str">
        <f aca="false">IF(OR($F208="",$C208="",$D208=""),"",ABS($F208)*$D208*IFERROR(INDEX(Listas!$C$6:$C$20,MATCH($C208,Listas!$B$6:$B$20,0)),0))</f>
        <v/>
      </c>
      <c r="I208" s="42" t="str">
        <f aca="false">IF(OR($E208="",$F208="",$F208=0),"",$E208/ABS($F208))</f>
        <v/>
      </c>
      <c r="J208" s="43" t="str">
        <f aca="false">IF($B208="","",INDEX(Listas!$G$6:$G$12,WEEKDAY($B208,1)))</f>
        <v/>
      </c>
      <c r="K208" s="43" t="str">
        <f aca="false">IFERROR(IF($L208="","",TEXT(IF($L208&lt;1,HOUR($L208),INT($L208)),"00")&amp;":00"),"")</f>
        <v/>
      </c>
      <c r="L208" s="44"/>
      <c r="M208" s="45"/>
      <c r="N208" s="46"/>
      <c r="O208" s="45"/>
      <c r="P208" s="2"/>
      <c r="Q208" s="2"/>
      <c r="R208" s="2"/>
      <c r="S208" s="2"/>
      <c r="T208" s="2"/>
      <c r="U208" s="47" t="str">
        <f aca="false">IF($G208="","",IF($G208&lt;0,IF(N($U207)=0,1,$U207+1),0))</f>
        <v/>
      </c>
      <c r="V208" s="47" t="str">
        <f aca="false">IF($G208="","",IF($V207="",'Empieza aquí'!$D$8,$V207)+$G208)</f>
        <v/>
      </c>
      <c r="W208" s="47" t="str">
        <f aca="false">IF($V208="","",MAX(IF($W207="",'Empieza aquí'!$D$8,$W207),$V208))</f>
        <v/>
      </c>
      <c r="X208" s="47" t="str">
        <f aca="false">IF($V208="","",$V208-$W208)</f>
        <v/>
      </c>
      <c r="Y208" s="3"/>
      <c r="Z208" s="3"/>
      <c r="AA208" s="3"/>
      <c r="AB208" s="3"/>
      <c r="AC208" s="3"/>
      <c r="AD208" s="3"/>
      <c r="AE208" s="3"/>
      <c r="AF208" s="3"/>
      <c r="AG208" s="3"/>
      <c r="AH208" s="3"/>
    </row>
    <row r="209" customFormat="false" ht="15" hidden="false" customHeight="true" outlineLevel="0" collapsed="false">
      <c r="A209" s="2"/>
      <c r="B209" s="36"/>
      <c r="C209" s="37"/>
      <c r="D209" s="37"/>
      <c r="E209" s="38"/>
      <c r="F209" s="39"/>
      <c r="G209" s="40" t="str">
        <f aca="false">IF(OR($E209="",$C209="",$D209=""),"",$E209*$D209*IFERROR(INDEX(Listas!$C$6:$C$20,MATCH($C209,Listas!$B$6:$B$20,0)),0)-$D209*IFERROR(INDEX(Listas!$D$6:$D$20,MATCH($C209,Listas!$B$6:$B$20,0)),0))</f>
        <v/>
      </c>
      <c r="H209" s="41" t="str">
        <f aca="false">IF(OR($F209="",$C209="",$D209=""),"",ABS($F209)*$D209*IFERROR(INDEX(Listas!$C$6:$C$20,MATCH($C209,Listas!$B$6:$B$20,0)),0))</f>
        <v/>
      </c>
      <c r="I209" s="42" t="str">
        <f aca="false">IF(OR($E209="",$F209="",$F209=0),"",$E209/ABS($F209))</f>
        <v/>
      </c>
      <c r="J209" s="43" t="str">
        <f aca="false">IF($B209="","",INDEX(Listas!$G$6:$G$12,WEEKDAY($B209,1)))</f>
        <v/>
      </c>
      <c r="K209" s="43" t="str">
        <f aca="false">IFERROR(IF($L209="","",TEXT(IF($L209&lt;1,HOUR($L209),INT($L209)),"00")&amp;":00"),"")</f>
        <v/>
      </c>
      <c r="L209" s="44"/>
      <c r="M209" s="45"/>
      <c r="N209" s="46"/>
      <c r="O209" s="45"/>
      <c r="P209" s="2"/>
      <c r="Q209" s="2"/>
      <c r="R209" s="2"/>
      <c r="S209" s="2"/>
      <c r="T209" s="2"/>
      <c r="U209" s="47" t="str">
        <f aca="false">IF($G209="","",IF($G209&lt;0,IF(N($U208)=0,1,$U208+1),0))</f>
        <v/>
      </c>
      <c r="V209" s="47" t="str">
        <f aca="false">IF($G209="","",IF($V208="",'Empieza aquí'!$D$8,$V208)+$G209)</f>
        <v/>
      </c>
      <c r="W209" s="47" t="str">
        <f aca="false">IF($V209="","",MAX(IF($W208="",'Empieza aquí'!$D$8,$W208),$V209))</f>
        <v/>
      </c>
      <c r="X209" s="47" t="str">
        <f aca="false">IF($V209="","",$V209-$W209)</f>
        <v/>
      </c>
      <c r="Y209" s="3"/>
      <c r="Z209" s="3"/>
      <c r="AA209" s="3"/>
      <c r="AB209" s="3"/>
      <c r="AC209" s="3"/>
      <c r="AD209" s="3"/>
      <c r="AE209" s="3"/>
      <c r="AF209" s="3"/>
      <c r="AG209" s="3"/>
      <c r="AH209" s="3"/>
    </row>
    <row r="210" customFormat="false" ht="15" hidden="false" customHeight="true" outlineLevel="0" collapsed="false">
      <c r="A210" s="2"/>
      <c r="B210" s="36"/>
      <c r="C210" s="37"/>
      <c r="D210" s="37"/>
      <c r="E210" s="38"/>
      <c r="F210" s="39"/>
      <c r="G210" s="40" t="str">
        <f aca="false">IF(OR($E210="",$C210="",$D210=""),"",$E210*$D210*IFERROR(INDEX(Listas!$C$6:$C$20,MATCH($C210,Listas!$B$6:$B$20,0)),0)-$D210*IFERROR(INDEX(Listas!$D$6:$D$20,MATCH($C210,Listas!$B$6:$B$20,0)),0))</f>
        <v/>
      </c>
      <c r="H210" s="41" t="str">
        <f aca="false">IF(OR($F210="",$C210="",$D210=""),"",ABS($F210)*$D210*IFERROR(INDEX(Listas!$C$6:$C$20,MATCH($C210,Listas!$B$6:$B$20,0)),0))</f>
        <v/>
      </c>
      <c r="I210" s="42" t="str">
        <f aca="false">IF(OR($E210="",$F210="",$F210=0),"",$E210/ABS($F210))</f>
        <v/>
      </c>
      <c r="J210" s="43" t="str">
        <f aca="false">IF($B210="","",INDEX(Listas!$G$6:$G$12,WEEKDAY($B210,1)))</f>
        <v/>
      </c>
      <c r="K210" s="43" t="str">
        <f aca="false">IFERROR(IF($L210="","",TEXT(IF($L210&lt;1,HOUR($L210),INT($L210)),"00")&amp;":00"),"")</f>
        <v/>
      </c>
      <c r="L210" s="44"/>
      <c r="M210" s="45"/>
      <c r="N210" s="46"/>
      <c r="O210" s="45"/>
      <c r="P210" s="2"/>
      <c r="Q210" s="2"/>
      <c r="R210" s="2"/>
      <c r="S210" s="2"/>
      <c r="T210" s="2"/>
      <c r="U210" s="47" t="str">
        <f aca="false">IF($G210="","",IF($G210&lt;0,IF(N($U209)=0,1,$U209+1),0))</f>
        <v/>
      </c>
      <c r="V210" s="47" t="str">
        <f aca="false">IF($G210="","",IF($V209="",'Empieza aquí'!$D$8,$V209)+$G210)</f>
        <v/>
      </c>
      <c r="W210" s="47" t="str">
        <f aca="false">IF($V210="","",MAX(IF($W209="",'Empieza aquí'!$D$8,$W209),$V210))</f>
        <v/>
      </c>
      <c r="X210" s="47" t="str">
        <f aca="false">IF($V210="","",$V210-$W210)</f>
        <v/>
      </c>
      <c r="Y210" s="3"/>
      <c r="Z210" s="3"/>
      <c r="AA210" s="3"/>
      <c r="AB210" s="3"/>
      <c r="AC210" s="3"/>
      <c r="AD210" s="3"/>
      <c r="AE210" s="3"/>
      <c r="AF210" s="3"/>
      <c r="AG210" s="3"/>
      <c r="AH210" s="3"/>
    </row>
    <row r="211" customFormat="false" ht="15" hidden="false" customHeight="true" outlineLevel="0" collapsed="false">
      <c r="A211" s="2"/>
      <c r="B211" s="36"/>
      <c r="C211" s="37"/>
      <c r="D211" s="37"/>
      <c r="E211" s="38"/>
      <c r="F211" s="39"/>
      <c r="G211" s="40" t="str">
        <f aca="false">IF(OR($E211="",$C211="",$D211=""),"",$E211*$D211*IFERROR(INDEX(Listas!$C$6:$C$20,MATCH($C211,Listas!$B$6:$B$20,0)),0)-$D211*IFERROR(INDEX(Listas!$D$6:$D$20,MATCH($C211,Listas!$B$6:$B$20,0)),0))</f>
        <v/>
      </c>
      <c r="H211" s="41" t="str">
        <f aca="false">IF(OR($F211="",$C211="",$D211=""),"",ABS($F211)*$D211*IFERROR(INDEX(Listas!$C$6:$C$20,MATCH($C211,Listas!$B$6:$B$20,0)),0))</f>
        <v/>
      </c>
      <c r="I211" s="42" t="str">
        <f aca="false">IF(OR($E211="",$F211="",$F211=0),"",$E211/ABS($F211))</f>
        <v/>
      </c>
      <c r="J211" s="43" t="str">
        <f aca="false">IF($B211="","",INDEX(Listas!$G$6:$G$12,WEEKDAY($B211,1)))</f>
        <v/>
      </c>
      <c r="K211" s="43" t="str">
        <f aca="false">IFERROR(IF($L211="","",TEXT(IF($L211&lt;1,HOUR($L211),INT($L211)),"00")&amp;":00"),"")</f>
        <v/>
      </c>
      <c r="L211" s="44"/>
      <c r="M211" s="45"/>
      <c r="N211" s="46"/>
      <c r="O211" s="45"/>
      <c r="P211" s="2"/>
      <c r="Q211" s="2"/>
      <c r="R211" s="2"/>
      <c r="S211" s="2"/>
      <c r="T211" s="2"/>
      <c r="U211" s="47" t="str">
        <f aca="false">IF($G211="","",IF($G211&lt;0,IF(N($U210)=0,1,$U210+1),0))</f>
        <v/>
      </c>
      <c r="V211" s="47" t="str">
        <f aca="false">IF($G211="","",IF($V210="",'Empieza aquí'!$D$8,$V210)+$G211)</f>
        <v/>
      </c>
      <c r="W211" s="47" t="str">
        <f aca="false">IF($V211="","",MAX(IF($W210="",'Empieza aquí'!$D$8,$W210),$V211))</f>
        <v/>
      </c>
      <c r="X211" s="47" t="str">
        <f aca="false">IF($V211="","",$V211-$W211)</f>
        <v/>
      </c>
      <c r="Y211" s="3"/>
      <c r="Z211" s="3"/>
      <c r="AA211" s="3"/>
      <c r="AB211" s="3"/>
      <c r="AC211" s="3"/>
      <c r="AD211" s="3"/>
      <c r="AE211" s="3"/>
      <c r="AF211" s="3"/>
      <c r="AG211" s="3"/>
      <c r="AH211" s="3"/>
    </row>
    <row r="212" customFormat="false" ht="15" hidden="false" customHeight="true" outlineLevel="0" collapsed="false">
      <c r="A212" s="2"/>
      <c r="B212" s="36"/>
      <c r="C212" s="37"/>
      <c r="D212" s="37"/>
      <c r="E212" s="38"/>
      <c r="F212" s="39"/>
      <c r="G212" s="40" t="str">
        <f aca="false">IF(OR($E212="",$C212="",$D212=""),"",$E212*$D212*IFERROR(INDEX(Listas!$C$6:$C$20,MATCH($C212,Listas!$B$6:$B$20,0)),0)-$D212*IFERROR(INDEX(Listas!$D$6:$D$20,MATCH($C212,Listas!$B$6:$B$20,0)),0))</f>
        <v/>
      </c>
      <c r="H212" s="41" t="str">
        <f aca="false">IF(OR($F212="",$C212="",$D212=""),"",ABS($F212)*$D212*IFERROR(INDEX(Listas!$C$6:$C$20,MATCH($C212,Listas!$B$6:$B$20,0)),0))</f>
        <v/>
      </c>
      <c r="I212" s="42" t="str">
        <f aca="false">IF(OR($E212="",$F212="",$F212=0),"",$E212/ABS($F212))</f>
        <v/>
      </c>
      <c r="J212" s="43" t="str">
        <f aca="false">IF($B212="","",INDEX(Listas!$G$6:$G$12,WEEKDAY($B212,1)))</f>
        <v/>
      </c>
      <c r="K212" s="43" t="str">
        <f aca="false">IFERROR(IF($L212="","",TEXT(IF($L212&lt;1,HOUR($L212),INT($L212)),"00")&amp;":00"),"")</f>
        <v/>
      </c>
      <c r="L212" s="44"/>
      <c r="M212" s="45"/>
      <c r="N212" s="46"/>
      <c r="O212" s="45"/>
      <c r="P212" s="2"/>
      <c r="Q212" s="2"/>
      <c r="R212" s="2"/>
      <c r="S212" s="2"/>
      <c r="T212" s="2"/>
      <c r="U212" s="47" t="str">
        <f aca="false">IF($G212="","",IF($G212&lt;0,IF(N($U211)=0,1,$U211+1),0))</f>
        <v/>
      </c>
      <c r="V212" s="47" t="str">
        <f aca="false">IF($G212="","",IF($V211="",'Empieza aquí'!$D$8,$V211)+$G212)</f>
        <v/>
      </c>
      <c r="W212" s="47" t="str">
        <f aca="false">IF($V212="","",MAX(IF($W211="",'Empieza aquí'!$D$8,$W211),$V212))</f>
        <v/>
      </c>
      <c r="X212" s="47" t="str">
        <f aca="false">IF($V212="","",$V212-$W212)</f>
        <v/>
      </c>
      <c r="Y212" s="3"/>
      <c r="Z212" s="3"/>
      <c r="AA212" s="3"/>
      <c r="AB212" s="3"/>
      <c r="AC212" s="3"/>
      <c r="AD212" s="3"/>
      <c r="AE212" s="3"/>
      <c r="AF212" s="3"/>
      <c r="AG212" s="3"/>
      <c r="AH212" s="3"/>
    </row>
    <row r="213" customFormat="false" ht="15" hidden="false" customHeight="true" outlineLevel="0" collapsed="false">
      <c r="A213" s="2"/>
      <c r="B213" s="36"/>
      <c r="C213" s="37"/>
      <c r="D213" s="37"/>
      <c r="E213" s="38"/>
      <c r="F213" s="39"/>
      <c r="G213" s="40" t="str">
        <f aca="false">IF(OR($E213="",$C213="",$D213=""),"",$E213*$D213*IFERROR(INDEX(Listas!$C$6:$C$20,MATCH($C213,Listas!$B$6:$B$20,0)),0)-$D213*IFERROR(INDEX(Listas!$D$6:$D$20,MATCH($C213,Listas!$B$6:$B$20,0)),0))</f>
        <v/>
      </c>
      <c r="H213" s="41" t="str">
        <f aca="false">IF(OR($F213="",$C213="",$D213=""),"",ABS($F213)*$D213*IFERROR(INDEX(Listas!$C$6:$C$20,MATCH($C213,Listas!$B$6:$B$20,0)),0))</f>
        <v/>
      </c>
      <c r="I213" s="42" t="str">
        <f aca="false">IF(OR($E213="",$F213="",$F213=0),"",$E213/ABS($F213))</f>
        <v/>
      </c>
      <c r="J213" s="43" t="str">
        <f aca="false">IF($B213="","",INDEX(Listas!$G$6:$G$12,WEEKDAY($B213,1)))</f>
        <v/>
      </c>
      <c r="K213" s="43" t="str">
        <f aca="false">IFERROR(IF($L213="","",TEXT(IF($L213&lt;1,HOUR($L213),INT($L213)),"00")&amp;":00"),"")</f>
        <v/>
      </c>
      <c r="L213" s="44"/>
      <c r="M213" s="45"/>
      <c r="N213" s="46"/>
      <c r="O213" s="45"/>
      <c r="P213" s="2"/>
      <c r="Q213" s="2"/>
      <c r="R213" s="2"/>
      <c r="S213" s="2"/>
      <c r="T213" s="2"/>
      <c r="U213" s="47" t="str">
        <f aca="false">IF($G213="","",IF($G213&lt;0,IF(N($U212)=0,1,$U212+1),0))</f>
        <v/>
      </c>
      <c r="V213" s="47" t="str">
        <f aca="false">IF($G213="","",IF($V212="",'Empieza aquí'!$D$8,$V212)+$G213)</f>
        <v/>
      </c>
      <c r="W213" s="47" t="str">
        <f aca="false">IF($V213="","",MAX(IF($W212="",'Empieza aquí'!$D$8,$W212),$V213))</f>
        <v/>
      </c>
      <c r="X213" s="47" t="str">
        <f aca="false">IF($V213="","",$V213-$W213)</f>
        <v/>
      </c>
      <c r="Y213" s="3"/>
      <c r="Z213" s="3"/>
      <c r="AA213" s="3"/>
      <c r="AB213" s="3"/>
      <c r="AC213" s="3"/>
      <c r="AD213" s="3"/>
      <c r="AE213" s="3"/>
      <c r="AF213" s="3"/>
      <c r="AG213" s="3"/>
      <c r="AH213" s="3"/>
    </row>
    <row r="214" customFormat="false" ht="15" hidden="false" customHeight="true" outlineLevel="0" collapsed="false">
      <c r="A214" s="2"/>
      <c r="B214" s="36"/>
      <c r="C214" s="37"/>
      <c r="D214" s="37"/>
      <c r="E214" s="38"/>
      <c r="F214" s="39"/>
      <c r="G214" s="40" t="str">
        <f aca="false">IF(OR($E214="",$C214="",$D214=""),"",$E214*$D214*IFERROR(INDEX(Listas!$C$6:$C$20,MATCH($C214,Listas!$B$6:$B$20,0)),0)-$D214*IFERROR(INDEX(Listas!$D$6:$D$20,MATCH($C214,Listas!$B$6:$B$20,0)),0))</f>
        <v/>
      </c>
      <c r="H214" s="41" t="str">
        <f aca="false">IF(OR($F214="",$C214="",$D214=""),"",ABS($F214)*$D214*IFERROR(INDEX(Listas!$C$6:$C$20,MATCH($C214,Listas!$B$6:$B$20,0)),0))</f>
        <v/>
      </c>
      <c r="I214" s="42" t="str">
        <f aca="false">IF(OR($E214="",$F214="",$F214=0),"",$E214/ABS($F214))</f>
        <v/>
      </c>
      <c r="J214" s="43" t="str">
        <f aca="false">IF($B214="","",INDEX(Listas!$G$6:$G$12,WEEKDAY($B214,1)))</f>
        <v/>
      </c>
      <c r="K214" s="43" t="str">
        <f aca="false">IFERROR(IF($L214="","",TEXT(IF($L214&lt;1,HOUR($L214),INT($L214)),"00")&amp;":00"),"")</f>
        <v/>
      </c>
      <c r="L214" s="44"/>
      <c r="M214" s="45"/>
      <c r="N214" s="46"/>
      <c r="O214" s="45"/>
      <c r="P214" s="2"/>
      <c r="Q214" s="2"/>
      <c r="R214" s="2"/>
      <c r="S214" s="2"/>
      <c r="T214" s="2"/>
      <c r="U214" s="47" t="str">
        <f aca="false">IF($G214="","",IF($G214&lt;0,IF(N($U213)=0,1,$U213+1),0))</f>
        <v/>
      </c>
      <c r="V214" s="47" t="str">
        <f aca="false">IF($G214="","",IF($V213="",'Empieza aquí'!$D$8,$V213)+$G214)</f>
        <v/>
      </c>
      <c r="W214" s="47" t="str">
        <f aca="false">IF($V214="","",MAX(IF($W213="",'Empieza aquí'!$D$8,$W213),$V214))</f>
        <v/>
      </c>
      <c r="X214" s="47" t="str">
        <f aca="false">IF($V214="","",$V214-$W214)</f>
        <v/>
      </c>
      <c r="Y214" s="3"/>
      <c r="Z214" s="3"/>
      <c r="AA214" s="3"/>
      <c r="AB214" s="3"/>
      <c r="AC214" s="3"/>
      <c r="AD214" s="3"/>
      <c r="AE214" s="3"/>
      <c r="AF214" s="3"/>
      <c r="AG214" s="3"/>
      <c r="AH214" s="3"/>
    </row>
    <row r="215" customFormat="false" ht="15" hidden="false" customHeight="true" outlineLevel="0" collapsed="false">
      <c r="A215" s="2"/>
      <c r="B215" s="36"/>
      <c r="C215" s="37"/>
      <c r="D215" s="37"/>
      <c r="E215" s="38"/>
      <c r="F215" s="39"/>
      <c r="G215" s="40" t="str">
        <f aca="false">IF(OR($E215="",$C215="",$D215=""),"",$E215*$D215*IFERROR(INDEX(Listas!$C$6:$C$20,MATCH($C215,Listas!$B$6:$B$20,0)),0)-$D215*IFERROR(INDEX(Listas!$D$6:$D$20,MATCH($C215,Listas!$B$6:$B$20,0)),0))</f>
        <v/>
      </c>
      <c r="H215" s="41" t="str">
        <f aca="false">IF(OR($F215="",$C215="",$D215=""),"",ABS($F215)*$D215*IFERROR(INDEX(Listas!$C$6:$C$20,MATCH($C215,Listas!$B$6:$B$20,0)),0))</f>
        <v/>
      </c>
      <c r="I215" s="42" t="str">
        <f aca="false">IF(OR($E215="",$F215="",$F215=0),"",$E215/ABS($F215))</f>
        <v/>
      </c>
      <c r="J215" s="43" t="str">
        <f aca="false">IF($B215="","",INDEX(Listas!$G$6:$G$12,WEEKDAY($B215,1)))</f>
        <v/>
      </c>
      <c r="K215" s="43" t="str">
        <f aca="false">IFERROR(IF($L215="","",TEXT(IF($L215&lt;1,HOUR($L215),INT($L215)),"00")&amp;":00"),"")</f>
        <v/>
      </c>
      <c r="L215" s="44"/>
      <c r="M215" s="45"/>
      <c r="N215" s="46"/>
      <c r="O215" s="45"/>
      <c r="P215" s="2"/>
      <c r="Q215" s="2"/>
      <c r="R215" s="2"/>
      <c r="S215" s="2"/>
      <c r="T215" s="2"/>
      <c r="U215" s="47" t="str">
        <f aca="false">IF($G215="","",IF($G215&lt;0,IF(N($U214)=0,1,$U214+1),0))</f>
        <v/>
      </c>
      <c r="V215" s="47" t="str">
        <f aca="false">IF($G215="","",IF($V214="",'Empieza aquí'!$D$8,$V214)+$G215)</f>
        <v/>
      </c>
      <c r="W215" s="47" t="str">
        <f aca="false">IF($V215="","",MAX(IF($W214="",'Empieza aquí'!$D$8,$W214),$V215))</f>
        <v/>
      </c>
      <c r="X215" s="47" t="str">
        <f aca="false">IF($V215="","",$V215-$W215)</f>
        <v/>
      </c>
      <c r="Y215" s="3"/>
      <c r="Z215" s="3"/>
      <c r="AA215" s="3"/>
      <c r="AB215" s="3"/>
      <c r="AC215" s="3"/>
      <c r="AD215" s="3"/>
      <c r="AE215" s="3"/>
      <c r="AF215" s="3"/>
      <c r="AG215" s="3"/>
      <c r="AH215" s="3"/>
    </row>
    <row r="216" customFormat="false" ht="15" hidden="false" customHeight="true" outlineLevel="0" collapsed="false">
      <c r="A216" s="2"/>
      <c r="B216" s="36"/>
      <c r="C216" s="37"/>
      <c r="D216" s="37"/>
      <c r="E216" s="38"/>
      <c r="F216" s="39"/>
      <c r="G216" s="40" t="str">
        <f aca="false">IF(OR($E216="",$C216="",$D216=""),"",$E216*$D216*IFERROR(INDEX(Listas!$C$6:$C$20,MATCH($C216,Listas!$B$6:$B$20,0)),0)-$D216*IFERROR(INDEX(Listas!$D$6:$D$20,MATCH($C216,Listas!$B$6:$B$20,0)),0))</f>
        <v/>
      </c>
      <c r="H216" s="41" t="str">
        <f aca="false">IF(OR($F216="",$C216="",$D216=""),"",ABS($F216)*$D216*IFERROR(INDEX(Listas!$C$6:$C$20,MATCH($C216,Listas!$B$6:$B$20,0)),0))</f>
        <v/>
      </c>
      <c r="I216" s="42" t="str">
        <f aca="false">IF(OR($E216="",$F216="",$F216=0),"",$E216/ABS($F216))</f>
        <v/>
      </c>
      <c r="J216" s="43" t="str">
        <f aca="false">IF($B216="","",INDEX(Listas!$G$6:$G$12,WEEKDAY($B216,1)))</f>
        <v/>
      </c>
      <c r="K216" s="43" t="str">
        <f aca="false">IFERROR(IF($L216="","",TEXT(IF($L216&lt;1,HOUR($L216),INT($L216)),"00")&amp;":00"),"")</f>
        <v/>
      </c>
      <c r="L216" s="44"/>
      <c r="M216" s="45"/>
      <c r="N216" s="46"/>
      <c r="O216" s="45"/>
      <c r="P216" s="2"/>
      <c r="Q216" s="2"/>
      <c r="R216" s="2"/>
      <c r="S216" s="2"/>
      <c r="T216" s="2"/>
      <c r="U216" s="47" t="str">
        <f aca="false">IF($G216="","",IF($G216&lt;0,IF(N($U215)=0,1,$U215+1),0))</f>
        <v/>
      </c>
      <c r="V216" s="47" t="str">
        <f aca="false">IF($G216="","",IF($V215="",'Empieza aquí'!$D$8,$V215)+$G216)</f>
        <v/>
      </c>
      <c r="W216" s="47" t="str">
        <f aca="false">IF($V216="","",MAX(IF($W215="",'Empieza aquí'!$D$8,$W215),$V216))</f>
        <v/>
      </c>
      <c r="X216" s="47" t="str">
        <f aca="false">IF($V216="","",$V216-$W216)</f>
        <v/>
      </c>
      <c r="Y216" s="3"/>
      <c r="Z216" s="3"/>
      <c r="AA216" s="3"/>
      <c r="AB216" s="3"/>
      <c r="AC216" s="3"/>
      <c r="AD216" s="3"/>
      <c r="AE216" s="3"/>
      <c r="AF216" s="3"/>
      <c r="AG216" s="3"/>
      <c r="AH216" s="3"/>
    </row>
    <row r="217" customFormat="false" ht="15" hidden="false" customHeight="true" outlineLevel="0" collapsed="false">
      <c r="A217" s="2"/>
      <c r="B217" s="36"/>
      <c r="C217" s="37"/>
      <c r="D217" s="37"/>
      <c r="E217" s="38"/>
      <c r="F217" s="39"/>
      <c r="G217" s="40" t="str">
        <f aca="false">IF(OR($E217="",$C217="",$D217=""),"",$E217*$D217*IFERROR(INDEX(Listas!$C$6:$C$20,MATCH($C217,Listas!$B$6:$B$20,0)),0)-$D217*IFERROR(INDEX(Listas!$D$6:$D$20,MATCH($C217,Listas!$B$6:$B$20,0)),0))</f>
        <v/>
      </c>
      <c r="H217" s="41" t="str">
        <f aca="false">IF(OR($F217="",$C217="",$D217=""),"",ABS($F217)*$D217*IFERROR(INDEX(Listas!$C$6:$C$20,MATCH($C217,Listas!$B$6:$B$20,0)),0))</f>
        <v/>
      </c>
      <c r="I217" s="42" t="str">
        <f aca="false">IF(OR($E217="",$F217="",$F217=0),"",$E217/ABS($F217))</f>
        <v/>
      </c>
      <c r="J217" s="43" t="str">
        <f aca="false">IF($B217="","",INDEX(Listas!$G$6:$G$12,WEEKDAY($B217,1)))</f>
        <v/>
      </c>
      <c r="K217" s="43" t="str">
        <f aca="false">IFERROR(IF($L217="","",TEXT(IF($L217&lt;1,HOUR($L217),INT($L217)),"00")&amp;":00"),"")</f>
        <v/>
      </c>
      <c r="L217" s="44"/>
      <c r="M217" s="45"/>
      <c r="N217" s="46"/>
      <c r="O217" s="45"/>
      <c r="P217" s="2"/>
      <c r="Q217" s="2"/>
      <c r="R217" s="2"/>
      <c r="S217" s="2"/>
      <c r="T217" s="2"/>
      <c r="U217" s="47" t="str">
        <f aca="false">IF($G217="","",IF($G217&lt;0,IF(N($U216)=0,1,$U216+1),0))</f>
        <v/>
      </c>
      <c r="V217" s="47" t="str">
        <f aca="false">IF($G217="","",IF($V216="",'Empieza aquí'!$D$8,$V216)+$G217)</f>
        <v/>
      </c>
      <c r="W217" s="47" t="str">
        <f aca="false">IF($V217="","",MAX(IF($W216="",'Empieza aquí'!$D$8,$W216),$V217))</f>
        <v/>
      </c>
      <c r="X217" s="47" t="str">
        <f aca="false">IF($V217="","",$V217-$W217)</f>
        <v/>
      </c>
      <c r="Y217" s="3"/>
      <c r="Z217" s="3"/>
      <c r="AA217" s="3"/>
      <c r="AB217" s="3"/>
      <c r="AC217" s="3"/>
      <c r="AD217" s="3"/>
      <c r="AE217" s="3"/>
      <c r="AF217" s="3"/>
      <c r="AG217" s="3"/>
      <c r="AH217" s="3"/>
    </row>
    <row r="218" customFormat="false" ht="15" hidden="false" customHeight="true" outlineLevel="0" collapsed="false">
      <c r="A218" s="2"/>
      <c r="B218" s="36"/>
      <c r="C218" s="37"/>
      <c r="D218" s="37"/>
      <c r="E218" s="38"/>
      <c r="F218" s="39"/>
      <c r="G218" s="40" t="str">
        <f aca="false">IF(OR($E218="",$C218="",$D218=""),"",$E218*$D218*IFERROR(INDEX(Listas!$C$6:$C$20,MATCH($C218,Listas!$B$6:$B$20,0)),0)-$D218*IFERROR(INDEX(Listas!$D$6:$D$20,MATCH($C218,Listas!$B$6:$B$20,0)),0))</f>
        <v/>
      </c>
      <c r="H218" s="41" t="str">
        <f aca="false">IF(OR($F218="",$C218="",$D218=""),"",ABS($F218)*$D218*IFERROR(INDEX(Listas!$C$6:$C$20,MATCH($C218,Listas!$B$6:$B$20,0)),0))</f>
        <v/>
      </c>
      <c r="I218" s="42" t="str">
        <f aca="false">IF(OR($E218="",$F218="",$F218=0),"",$E218/ABS($F218))</f>
        <v/>
      </c>
      <c r="J218" s="43" t="str">
        <f aca="false">IF($B218="","",INDEX(Listas!$G$6:$G$12,WEEKDAY($B218,1)))</f>
        <v/>
      </c>
      <c r="K218" s="43" t="str">
        <f aca="false">IFERROR(IF($L218="","",TEXT(IF($L218&lt;1,HOUR($L218),INT($L218)),"00")&amp;":00"),"")</f>
        <v/>
      </c>
      <c r="L218" s="44"/>
      <c r="M218" s="45"/>
      <c r="N218" s="46"/>
      <c r="O218" s="45"/>
      <c r="P218" s="2"/>
      <c r="Q218" s="2"/>
      <c r="R218" s="2"/>
      <c r="S218" s="2"/>
      <c r="T218" s="2"/>
      <c r="U218" s="47" t="str">
        <f aca="false">IF($G218="","",IF($G218&lt;0,IF(N($U217)=0,1,$U217+1),0))</f>
        <v/>
      </c>
      <c r="V218" s="47" t="str">
        <f aca="false">IF($G218="","",IF($V217="",'Empieza aquí'!$D$8,$V217)+$G218)</f>
        <v/>
      </c>
      <c r="W218" s="47" t="str">
        <f aca="false">IF($V218="","",MAX(IF($W217="",'Empieza aquí'!$D$8,$W217),$V218))</f>
        <v/>
      </c>
      <c r="X218" s="47" t="str">
        <f aca="false">IF($V218="","",$V218-$W218)</f>
        <v/>
      </c>
      <c r="Y218" s="3"/>
      <c r="Z218" s="3"/>
      <c r="AA218" s="3"/>
      <c r="AB218" s="3"/>
      <c r="AC218" s="3"/>
      <c r="AD218" s="3"/>
      <c r="AE218" s="3"/>
      <c r="AF218" s="3"/>
      <c r="AG218" s="3"/>
      <c r="AH218" s="3"/>
    </row>
    <row r="219" customFormat="false" ht="15" hidden="false" customHeight="true" outlineLevel="0" collapsed="false">
      <c r="A219" s="2"/>
      <c r="B219" s="36"/>
      <c r="C219" s="37"/>
      <c r="D219" s="37"/>
      <c r="E219" s="38"/>
      <c r="F219" s="39"/>
      <c r="G219" s="40" t="str">
        <f aca="false">IF(OR($E219="",$C219="",$D219=""),"",$E219*$D219*IFERROR(INDEX(Listas!$C$6:$C$20,MATCH($C219,Listas!$B$6:$B$20,0)),0)-$D219*IFERROR(INDEX(Listas!$D$6:$D$20,MATCH($C219,Listas!$B$6:$B$20,0)),0))</f>
        <v/>
      </c>
      <c r="H219" s="41" t="str">
        <f aca="false">IF(OR($F219="",$C219="",$D219=""),"",ABS($F219)*$D219*IFERROR(INDEX(Listas!$C$6:$C$20,MATCH($C219,Listas!$B$6:$B$20,0)),0))</f>
        <v/>
      </c>
      <c r="I219" s="42" t="str">
        <f aca="false">IF(OR($E219="",$F219="",$F219=0),"",$E219/ABS($F219))</f>
        <v/>
      </c>
      <c r="J219" s="43" t="str">
        <f aca="false">IF($B219="","",INDEX(Listas!$G$6:$G$12,WEEKDAY($B219,1)))</f>
        <v/>
      </c>
      <c r="K219" s="43" t="str">
        <f aca="false">IFERROR(IF($L219="","",TEXT(IF($L219&lt;1,HOUR($L219),INT($L219)),"00")&amp;":00"),"")</f>
        <v/>
      </c>
      <c r="L219" s="44"/>
      <c r="M219" s="45"/>
      <c r="N219" s="46"/>
      <c r="O219" s="45"/>
      <c r="P219" s="2"/>
      <c r="Q219" s="2"/>
      <c r="R219" s="2"/>
      <c r="S219" s="2"/>
      <c r="T219" s="2"/>
      <c r="U219" s="47" t="str">
        <f aca="false">IF($G219="","",IF($G219&lt;0,IF(N($U218)=0,1,$U218+1),0))</f>
        <v/>
      </c>
      <c r="V219" s="47" t="str">
        <f aca="false">IF($G219="","",IF($V218="",'Empieza aquí'!$D$8,$V218)+$G219)</f>
        <v/>
      </c>
      <c r="W219" s="47" t="str">
        <f aca="false">IF($V219="","",MAX(IF($W218="",'Empieza aquí'!$D$8,$W218),$V219))</f>
        <v/>
      </c>
      <c r="X219" s="47" t="str">
        <f aca="false">IF($V219="","",$V219-$W219)</f>
        <v/>
      </c>
      <c r="Y219" s="3"/>
      <c r="Z219" s="3"/>
      <c r="AA219" s="3"/>
      <c r="AB219" s="3"/>
      <c r="AC219" s="3"/>
      <c r="AD219" s="3"/>
      <c r="AE219" s="3"/>
      <c r="AF219" s="3"/>
      <c r="AG219" s="3"/>
      <c r="AH219" s="3"/>
    </row>
    <row r="220" customFormat="false" ht="15" hidden="false" customHeight="true" outlineLevel="0" collapsed="false">
      <c r="A220" s="2"/>
      <c r="B220" s="36"/>
      <c r="C220" s="37"/>
      <c r="D220" s="37"/>
      <c r="E220" s="38"/>
      <c r="F220" s="39"/>
      <c r="G220" s="40" t="str">
        <f aca="false">IF(OR($E220="",$C220="",$D220=""),"",$E220*$D220*IFERROR(INDEX(Listas!$C$6:$C$20,MATCH($C220,Listas!$B$6:$B$20,0)),0)-$D220*IFERROR(INDEX(Listas!$D$6:$D$20,MATCH($C220,Listas!$B$6:$B$20,0)),0))</f>
        <v/>
      </c>
      <c r="H220" s="41" t="str">
        <f aca="false">IF(OR($F220="",$C220="",$D220=""),"",ABS($F220)*$D220*IFERROR(INDEX(Listas!$C$6:$C$20,MATCH($C220,Listas!$B$6:$B$20,0)),0))</f>
        <v/>
      </c>
      <c r="I220" s="42" t="str">
        <f aca="false">IF(OR($E220="",$F220="",$F220=0),"",$E220/ABS($F220))</f>
        <v/>
      </c>
      <c r="J220" s="43" t="str">
        <f aca="false">IF($B220="","",INDEX(Listas!$G$6:$G$12,WEEKDAY($B220,1)))</f>
        <v/>
      </c>
      <c r="K220" s="43" t="str">
        <f aca="false">IFERROR(IF($L220="","",TEXT(IF($L220&lt;1,HOUR($L220),INT($L220)),"00")&amp;":00"),"")</f>
        <v/>
      </c>
      <c r="L220" s="44"/>
      <c r="M220" s="45"/>
      <c r="N220" s="46"/>
      <c r="O220" s="45"/>
      <c r="P220" s="2"/>
      <c r="Q220" s="2"/>
      <c r="R220" s="2"/>
      <c r="S220" s="2"/>
      <c r="T220" s="2"/>
      <c r="U220" s="47" t="str">
        <f aca="false">IF($G220="","",IF($G220&lt;0,IF(N($U219)=0,1,$U219+1),0))</f>
        <v/>
      </c>
      <c r="V220" s="47" t="str">
        <f aca="false">IF($G220="","",IF($V219="",'Empieza aquí'!$D$8,$V219)+$G220)</f>
        <v/>
      </c>
      <c r="W220" s="47" t="str">
        <f aca="false">IF($V220="","",MAX(IF($W219="",'Empieza aquí'!$D$8,$W219),$V220))</f>
        <v/>
      </c>
      <c r="X220" s="47" t="str">
        <f aca="false">IF($V220="","",$V220-$W220)</f>
        <v/>
      </c>
      <c r="Y220" s="3"/>
      <c r="Z220" s="3"/>
      <c r="AA220" s="3"/>
      <c r="AB220" s="3"/>
      <c r="AC220" s="3"/>
      <c r="AD220" s="3"/>
      <c r="AE220" s="3"/>
      <c r="AF220" s="3"/>
      <c r="AG220" s="3"/>
      <c r="AH220" s="3"/>
    </row>
    <row r="221" customFormat="false" ht="15" hidden="false" customHeight="true" outlineLevel="0" collapsed="false">
      <c r="A221" s="2"/>
      <c r="B221" s="36"/>
      <c r="C221" s="37"/>
      <c r="D221" s="37"/>
      <c r="E221" s="38"/>
      <c r="F221" s="39"/>
      <c r="G221" s="40" t="str">
        <f aca="false">IF(OR($E221="",$C221="",$D221=""),"",$E221*$D221*IFERROR(INDEX(Listas!$C$6:$C$20,MATCH($C221,Listas!$B$6:$B$20,0)),0)-$D221*IFERROR(INDEX(Listas!$D$6:$D$20,MATCH($C221,Listas!$B$6:$B$20,0)),0))</f>
        <v/>
      </c>
      <c r="H221" s="41" t="str">
        <f aca="false">IF(OR($F221="",$C221="",$D221=""),"",ABS($F221)*$D221*IFERROR(INDEX(Listas!$C$6:$C$20,MATCH($C221,Listas!$B$6:$B$20,0)),0))</f>
        <v/>
      </c>
      <c r="I221" s="42" t="str">
        <f aca="false">IF(OR($E221="",$F221="",$F221=0),"",$E221/ABS($F221))</f>
        <v/>
      </c>
      <c r="J221" s="43" t="str">
        <f aca="false">IF($B221="","",INDEX(Listas!$G$6:$G$12,WEEKDAY($B221,1)))</f>
        <v/>
      </c>
      <c r="K221" s="43" t="str">
        <f aca="false">IFERROR(IF($L221="","",TEXT(IF($L221&lt;1,HOUR($L221),INT($L221)),"00")&amp;":00"),"")</f>
        <v/>
      </c>
      <c r="L221" s="44"/>
      <c r="M221" s="45"/>
      <c r="N221" s="46"/>
      <c r="O221" s="45"/>
      <c r="P221" s="2"/>
      <c r="Q221" s="2"/>
      <c r="R221" s="2"/>
      <c r="S221" s="2"/>
      <c r="T221" s="2"/>
      <c r="U221" s="47" t="str">
        <f aca="false">IF($G221="","",IF($G221&lt;0,IF(N($U220)=0,1,$U220+1),0))</f>
        <v/>
      </c>
      <c r="V221" s="47" t="str">
        <f aca="false">IF($G221="","",IF($V220="",'Empieza aquí'!$D$8,$V220)+$G221)</f>
        <v/>
      </c>
      <c r="W221" s="47" t="str">
        <f aca="false">IF($V221="","",MAX(IF($W220="",'Empieza aquí'!$D$8,$W220),$V221))</f>
        <v/>
      </c>
      <c r="X221" s="47" t="str">
        <f aca="false">IF($V221="","",$V221-$W221)</f>
        <v/>
      </c>
      <c r="Y221" s="3"/>
      <c r="Z221" s="3"/>
      <c r="AA221" s="3"/>
      <c r="AB221" s="3"/>
      <c r="AC221" s="3"/>
      <c r="AD221" s="3"/>
      <c r="AE221" s="3"/>
      <c r="AF221" s="3"/>
      <c r="AG221" s="3"/>
      <c r="AH221" s="3"/>
    </row>
    <row r="222" customFormat="false" ht="15" hidden="false" customHeight="true" outlineLevel="0" collapsed="false">
      <c r="A222" s="2"/>
      <c r="B222" s="36"/>
      <c r="C222" s="37"/>
      <c r="D222" s="37"/>
      <c r="E222" s="38"/>
      <c r="F222" s="39"/>
      <c r="G222" s="40" t="str">
        <f aca="false">IF(OR($E222="",$C222="",$D222=""),"",$E222*$D222*IFERROR(INDEX(Listas!$C$6:$C$20,MATCH($C222,Listas!$B$6:$B$20,0)),0)-$D222*IFERROR(INDEX(Listas!$D$6:$D$20,MATCH($C222,Listas!$B$6:$B$20,0)),0))</f>
        <v/>
      </c>
      <c r="H222" s="41" t="str">
        <f aca="false">IF(OR($F222="",$C222="",$D222=""),"",ABS($F222)*$D222*IFERROR(INDEX(Listas!$C$6:$C$20,MATCH($C222,Listas!$B$6:$B$20,0)),0))</f>
        <v/>
      </c>
      <c r="I222" s="42" t="str">
        <f aca="false">IF(OR($E222="",$F222="",$F222=0),"",$E222/ABS($F222))</f>
        <v/>
      </c>
      <c r="J222" s="43" t="str">
        <f aca="false">IF($B222="","",INDEX(Listas!$G$6:$G$12,WEEKDAY($B222,1)))</f>
        <v/>
      </c>
      <c r="K222" s="43" t="str">
        <f aca="false">IFERROR(IF($L222="","",TEXT(IF($L222&lt;1,HOUR($L222),INT($L222)),"00")&amp;":00"),"")</f>
        <v/>
      </c>
      <c r="L222" s="44"/>
      <c r="M222" s="45"/>
      <c r="N222" s="46"/>
      <c r="O222" s="45"/>
      <c r="P222" s="2"/>
      <c r="Q222" s="2"/>
      <c r="R222" s="2"/>
      <c r="S222" s="2"/>
      <c r="T222" s="2"/>
      <c r="U222" s="47" t="str">
        <f aca="false">IF($G222="","",IF($G222&lt;0,IF(N($U221)=0,1,$U221+1),0))</f>
        <v/>
      </c>
      <c r="V222" s="47" t="str">
        <f aca="false">IF($G222="","",IF($V221="",'Empieza aquí'!$D$8,$V221)+$G222)</f>
        <v/>
      </c>
      <c r="W222" s="47" t="str">
        <f aca="false">IF($V222="","",MAX(IF($W221="",'Empieza aquí'!$D$8,$W221),$V222))</f>
        <v/>
      </c>
      <c r="X222" s="47" t="str">
        <f aca="false">IF($V222="","",$V222-$W222)</f>
        <v/>
      </c>
      <c r="Y222" s="3"/>
      <c r="Z222" s="3"/>
      <c r="AA222" s="3"/>
      <c r="AB222" s="3"/>
      <c r="AC222" s="3"/>
      <c r="AD222" s="3"/>
      <c r="AE222" s="3"/>
      <c r="AF222" s="3"/>
      <c r="AG222" s="3"/>
      <c r="AH222" s="3"/>
    </row>
    <row r="223" customFormat="false" ht="15" hidden="false" customHeight="true" outlineLevel="0" collapsed="false">
      <c r="A223" s="2"/>
      <c r="B223" s="36"/>
      <c r="C223" s="37"/>
      <c r="D223" s="37"/>
      <c r="E223" s="38"/>
      <c r="F223" s="39"/>
      <c r="G223" s="40" t="str">
        <f aca="false">IF(OR($E223="",$C223="",$D223=""),"",$E223*$D223*IFERROR(INDEX(Listas!$C$6:$C$20,MATCH($C223,Listas!$B$6:$B$20,0)),0)-$D223*IFERROR(INDEX(Listas!$D$6:$D$20,MATCH($C223,Listas!$B$6:$B$20,0)),0))</f>
        <v/>
      </c>
      <c r="H223" s="41" t="str">
        <f aca="false">IF(OR($F223="",$C223="",$D223=""),"",ABS($F223)*$D223*IFERROR(INDEX(Listas!$C$6:$C$20,MATCH($C223,Listas!$B$6:$B$20,0)),0))</f>
        <v/>
      </c>
      <c r="I223" s="42" t="str">
        <f aca="false">IF(OR($E223="",$F223="",$F223=0),"",$E223/ABS($F223))</f>
        <v/>
      </c>
      <c r="J223" s="43" t="str">
        <f aca="false">IF($B223="","",INDEX(Listas!$G$6:$G$12,WEEKDAY($B223,1)))</f>
        <v/>
      </c>
      <c r="K223" s="43" t="str">
        <f aca="false">IFERROR(IF($L223="","",TEXT(IF($L223&lt;1,HOUR($L223),INT($L223)),"00")&amp;":00"),"")</f>
        <v/>
      </c>
      <c r="L223" s="44"/>
      <c r="M223" s="45"/>
      <c r="N223" s="46"/>
      <c r="O223" s="45"/>
      <c r="P223" s="2"/>
      <c r="Q223" s="2"/>
      <c r="R223" s="2"/>
      <c r="S223" s="2"/>
      <c r="T223" s="2"/>
      <c r="U223" s="47" t="str">
        <f aca="false">IF($G223="","",IF($G223&lt;0,IF(N($U222)=0,1,$U222+1),0))</f>
        <v/>
      </c>
      <c r="V223" s="47" t="str">
        <f aca="false">IF($G223="","",IF($V222="",'Empieza aquí'!$D$8,$V222)+$G223)</f>
        <v/>
      </c>
      <c r="W223" s="47" t="str">
        <f aca="false">IF($V223="","",MAX(IF($W222="",'Empieza aquí'!$D$8,$W222),$V223))</f>
        <v/>
      </c>
      <c r="X223" s="47" t="str">
        <f aca="false">IF($V223="","",$V223-$W223)</f>
        <v/>
      </c>
      <c r="Y223" s="3"/>
      <c r="Z223" s="3"/>
      <c r="AA223" s="3"/>
      <c r="AB223" s="3"/>
      <c r="AC223" s="3"/>
      <c r="AD223" s="3"/>
      <c r="AE223" s="3"/>
      <c r="AF223" s="3"/>
      <c r="AG223" s="3"/>
      <c r="AH223" s="3"/>
    </row>
    <row r="224" customFormat="false" ht="15" hidden="false" customHeight="true" outlineLevel="0" collapsed="false">
      <c r="A224" s="2"/>
      <c r="B224" s="36"/>
      <c r="C224" s="37"/>
      <c r="D224" s="37"/>
      <c r="E224" s="38"/>
      <c r="F224" s="39"/>
      <c r="G224" s="40" t="str">
        <f aca="false">IF(OR($E224="",$C224="",$D224=""),"",$E224*$D224*IFERROR(INDEX(Listas!$C$6:$C$20,MATCH($C224,Listas!$B$6:$B$20,0)),0)-$D224*IFERROR(INDEX(Listas!$D$6:$D$20,MATCH($C224,Listas!$B$6:$B$20,0)),0))</f>
        <v/>
      </c>
      <c r="H224" s="41" t="str">
        <f aca="false">IF(OR($F224="",$C224="",$D224=""),"",ABS($F224)*$D224*IFERROR(INDEX(Listas!$C$6:$C$20,MATCH($C224,Listas!$B$6:$B$20,0)),0))</f>
        <v/>
      </c>
      <c r="I224" s="42" t="str">
        <f aca="false">IF(OR($E224="",$F224="",$F224=0),"",$E224/ABS($F224))</f>
        <v/>
      </c>
      <c r="J224" s="43" t="str">
        <f aca="false">IF($B224="","",INDEX(Listas!$G$6:$G$12,WEEKDAY($B224,1)))</f>
        <v/>
      </c>
      <c r="K224" s="43" t="str">
        <f aca="false">IFERROR(IF($L224="","",TEXT(IF($L224&lt;1,HOUR($L224),INT($L224)),"00")&amp;":00"),"")</f>
        <v/>
      </c>
      <c r="L224" s="44"/>
      <c r="M224" s="45"/>
      <c r="N224" s="46"/>
      <c r="O224" s="45"/>
      <c r="P224" s="2"/>
      <c r="Q224" s="2"/>
      <c r="R224" s="2"/>
      <c r="S224" s="2"/>
      <c r="T224" s="2"/>
      <c r="U224" s="47" t="str">
        <f aca="false">IF($G224="","",IF($G224&lt;0,IF(N($U223)=0,1,$U223+1),0))</f>
        <v/>
      </c>
      <c r="V224" s="47" t="str">
        <f aca="false">IF($G224="","",IF($V223="",'Empieza aquí'!$D$8,$V223)+$G224)</f>
        <v/>
      </c>
      <c r="W224" s="47" t="str">
        <f aca="false">IF($V224="","",MAX(IF($W223="",'Empieza aquí'!$D$8,$W223),$V224))</f>
        <v/>
      </c>
      <c r="X224" s="47" t="str">
        <f aca="false">IF($V224="","",$V224-$W224)</f>
        <v/>
      </c>
      <c r="Y224" s="3"/>
      <c r="Z224" s="3"/>
      <c r="AA224" s="3"/>
      <c r="AB224" s="3"/>
      <c r="AC224" s="3"/>
      <c r="AD224" s="3"/>
      <c r="AE224" s="3"/>
      <c r="AF224" s="3"/>
      <c r="AG224" s="3"/>
      <c r="AH224" s="3"/>
    </row>
    <row r="225" customFormat="false" ht="15" hidden="false" customHeight="true" outlineLevel="0" collapsed="false">
      <c r="A225" s="2"/>
      <c r="B225" s="36"/>
      <c r="C225" s="37"/>
      <c r="D225" s="37"/>
      <c r="E225" s="38"/>
      <c r="F225" s="39"/>
      <c r="G225" s="40" t="str">
        <f aca="false">IF(OR($E225="",$C225="",$D225=""),"",$E225*$D225*IFERROR(INDEX(Listas!$C$6:$C$20,MATCH($C225,Listas!$B$6:$B$20,0)),0)-$D225*IFERROR(INDEX(Listas!$D$6:$D$20,MATCH($C225,Listas!$B$6:$B$20,0)),0))</f>
        <v/>
      </c>
      <c r="H225" s="41" t="str">
        <f aca="false">IF(OR($F225="",$C225="",$D225=""),"",ABS($F225)*$D225*IFERROR(INDEX(Listas!$C$6:$C$20,MATCH($C225,Listas!$B$6:$B$20,0)),0))</f>
        <v/>
      </c>
      <c r="I225" s="42" t="str">
        <f aca="false">IF(OR($E225="",$F225="",$F225=0),"",$E225/ABS($F225))</f>
        <v/>
      </c>
      <c r="J225" s="43" t="str">
        <f aca="false">IF($B225="","",INDEX(Listas!$G$6:$G$12,WEEKDAY($B225,1)))</f>
        <v/>
      </c>
      <c r="K225" s="43" t="str">
        <f aca="false">IFERROR(IF($L225="","",TEXT(IF($L225&lt;1,HOUR($L225),INT($L225)),"00")&amp;":00"),"")</f>
        <v/>
      </c>
      <c r="L225" s="44"/>
      <c r="M225" s="45"/>
      <c r="N225" s="46"/>
      <c r="O225" s="45"/>
      <c r="P225" s="2"/>
      <c r="Q225" s="2"/>
      <c r="R225" s="2"/>
      <c r="S225" s="2"/>
      <c r="T225" s="2"/>
      <c r="U225" s="47" t="str">
        <f aca="false">IF($G225="","",IF($G225&lt;0,IF(N($U224)=0,1,$U224+1),0))</f>
        <v/>
      </c>
      <c r="V225" s="47" t="str">
        <f aca="false">IF($G225="","",IF($V224="",'Empieza aquí'!$D$8,$V224)+$G225)</f>
        <v/>
      </c>
      <c r="W225" s="47" t="str">
        <f aca="false">IF($V225="","",MAX(IF($W224="",'Empieza aquí'!$D$8,$W224),$V225))</f>
        <v/>
      </c>
      <c r="X225" s="47" t="str">
        <f aca="false">IF($V225="","",$V225-$W225)</f>
        <v/>
      </c>
      <c r="Y225" s="3"/>
      <c r="Z225" s="3"/>
      <c r="AA225" s="3"/>
      <c r="AB225" s="3"/>
      <c r="AC225" s="3"/>
      <c r="AD225" s="3"/>
      <c r="AE225" s="3"/>
      <c r="AF225" s="3"/>
      <c r="AG225" s="3"/>
      <c r="AH225" s="3"/>
    </row>
    <row r="226" customFormat="false" ht="15" hidden="false" customHeight="true" outlineLevel="0" collapsed="false">
      <c r="A226" s="2"/>
      <c r="B226" s="36"/>
      <c r="C226" s="37"/>
      <c r="D226" s="37"/>
      <c r="E226" s="38"/>
      <c r="F226" s="39"/>
      <c r="G226" s="40" t="str">
        <f aca="false">IF(OR($E226="",$C226="",$D226=""),"",$E226*$D226*IFERROR(INDEX(Listas!$C$6:$C$20,MATCH($C226,Listas!$B$6:$B$20,0)),0)-$D226*IFERROR(INDEX(Listas!$D$6:$D$20,MATCH($C226,Listas!$B$6:$B$20,0)),0))</f>
        <v/>
      </c>
      <c r="H226" s="41" t="str">
        <f aca="false">IF(OR($F226="",$C226="",$D226=""),"",ABS($F226)*$D226*IFERROR(INDEX(Listas!$C$6:$C$20,MATCH($C226,Listas!$B$6:$B$20,0)),0))</f>
        <v/>
      </c>
      <c r="I226" s="42" t="str">
        <f aca="false">IF(OR($E226="",$F226="",$F226=0),"",$E226/ABS($F226))</f>
        <v/>
      </c>
      <c r="J226" s="43" t="str">
        <f aca="false">IF($B226="","",INDEX(Listas!$G$6:$G$12,WEEKDAY($B226,1)))</f>
        <v/>
      </c>
      <c r="K226" s="43" t="str">
        <f aca="false">IFERROR(IF($L226="","",TEXT(IF($L226&lt;1,HOUR($L226),INT($L226)),"00")&amp;":00"),"")</f>
        <v/>
      </c>
      <c r="L226" s="44"/>
      <c r="M226" s="45"/>
      <c r="N226" s="46"/>
      <c r="O226" s="45"/>
      <c r="P226" s="2"/>
      <c r="Q226" s="2"/>
      <c r="R226" s="2"/>
      <c r="S226" s="2"/>
      <c r="T226" s="2"/>
      <c r="U226" s="47" t="str">
        <f aca="false">IF($G226="","",IF($G226&lt;0,IF(N($U225)=0,1,$U225+1),0))</f>
        <v/>
      </c>
      <c r="V226" s="47" t="str">
        <f aca="false">IF($G226="","",IF($V225="",'Empieza aquí'!$D$8,$V225)+$G226)</f>
        <v/>
      </c>
      <c r="W226" s="47" t="str">
        <f aca="false">IF($V226="","",MAX(IF($W225="",'Empieza aquí'!$D$8,$W225),$V226))</f>
        <v/>
      </c>
      <c r="X226" s="47" t="str">
        <f aca="false">IF($V226="","",$V226-$W226)</f>
        <v/>
      </c>
      <c r="Y226" s="3"/>
      <c r="Z226" s="3"/>
      <c r="AA226" s="3"/>
      <c r="AB226" s="3"/>
      <c r="AC226" s="3"/>
      <c r="AD226" s="3"/>
      <c r="AE226" s="3"/>
      <c r="AF226" s="3"/>
      <c r="AG226" s="3"/>
      <c r="AH226" s="3"/>
    </row>
    <row r="227" customFormat="false" ht="15" hidden="false" customHeight="true" outlineLevel="0" collapsed="false">
      <c r="A227" s="2"/>
      <c r="B227" s="36"/>
      <c r="C227" s="37"/>
      <c r="D227" s="37"/>
      <c r="E227" s="38"/>
      <c r="F227" s="39"/>
      <c r="G227" s="40" t="str">
        <f aca="false">IF(OR($E227="",$C227="",$D227=""),"",$E227*$D227*IFERROR(INDEX(Listas!$C$6:$C$20,MATCH($C227,Listas!$B$6:$B$20,0)),0)-$D227*IFERROR(INDEX(Listas!$D$6:$D$20,MATCH($C227,Listas!$B$6:$B$20,0)),0))</f>
        <v/>
      </c>
      <c r="H227" s="41" t="str">
        <f aca="false">IF(OR($F227="",$C227="",$D227=""),"",ABS($F227)*$D227*IFERROR(INDEX(Listas!$C$6:$C$20,MATCH($C227,Listas!$B$6:$B$20,0)),0))</f>
        <v/>
      </c>
      <c r="I227" s="42" t="str">
        <f aca="false">IF(OR($E227="",$F227="",$F227=0),"",$E227/ABS($F227))</f>
        <v/>
      </c>
      <c r="J227" s="43" t="str">
        <f aca="false">IF($B227="","",INDEX(Listas!$G$6:$G$12,WEEKDAY($B227,1)))</f>
        <v/>
      </c>
      <c r="K227" s="43" t="str">
        <f aca="false">IFERROR(IF($L227="","",TEXT(IF($L227&lt;1,HOUR($L227),INT($L227)),"00")&amp;":00"),"")</f>
        <v/>
      </c>
      <c r="L227" s="44"/>
      <c r="M227" s="45"/>
      <c r="N227" s="46"/>
      <c r="O227" s="45"/>
      <c r="P227" s="2"/>
      <c r="Q227" s="2"/>
      <c r="R227" s="2"/>
      <c r="S227" s="2"/>
      <c r="T227" s="2"/>
      <c r="U227" s="47" t="str">
        <f aca="false">IF($G227="","",IF($G227&lt;0,IF(N($U226)=0,1,$U226+1),0))</f>
        <v/>
      </c>
      <c r="V227" s="47" t="str">
        <f aca="false">IF($G227="","",IF($V226="",'Empieza aquí'!$D$8,$V226)+$G227)</f>
        <v/>
      </c>
      <c r="W227" s="47" t="str">
        <f aca="false">IF($V227="","",MAX(IF($W226="",'Empieza aquí'!$D$8,$W226),$V227))</f>
        <v/>
      </c>
      <c r="X227" s="47" t="str">
        <f aca="false">IF($V227="","",$V227-$W227)</f>
        <v/>
      </c>
      <c r="Y227" s="3"/>
      <c r="Z227" s="3"/>
      <c r="AA227" s="3"/>
      <c r="AB227" s="3"/>
      <c r="AC227" s="3"/>
      <c r="AD227" s="3"/>
      <c r="AE227" s="3"/>
      <c r="AF227" s="3"/>
      <c r="AG227" s="3"/>
      <c r="AH227" s="3"/>
    </row>
    <row r="228" customFormat="false" ht="15" hidden="false" customHeight="true" outlineLevel="0" collapsed="false">
      <c r="A228" s="2"/>
      <c r="B228" s="36"/>
      <c r="C228" s="37"/>
      <c r="D228" s="37"/>
      <c r="E228" s="38"/>
      <c r="F228" s="39"/>
      <c r="G228" s="40" t="str">
        <f aca="false">IF(OR($E228="",$C228="",$D228=""),"",$E228*$D228*IFERROR(INDEX(Listas!$C$6:$C$20,MATCH($C228,Listas!$B$6:$B$20,0)),0)-$D228*IFERROR(INDEX(Listas!$D$6:$D$20,MATCH($C228,Listas!$B$6:$B$20,0)),0))</f>
        <v/>
      </c>
      <c r="H228" s="41" t="str">
        <f aca="false">IF(OR($F228="",$C228="",$D228=""),"",ABS($F228)*$D228*IFERROR(INDEX(Listas!$C$6:$C$20,MATCH($C228,Listas!$B$6:$B$20,0)),0))</f>
        <v/>
      </c>
      <c r="I228" s="42" t="str">
        <f aca="false">IF(OR($E228="",$F228="",$F228=0),"",$E228/ABS($F228))</f>
        <v/>
      </c>
      <c r="J228" s="43" t="str">
        <f aca="false">IF($B228="","",INDEX(Listas!$G$6:$G$12,WEEKDAY($B228,1)))</f>
        <v/>
      </c>
      <c r="K228" s="43" t="str">
        <f aca="false">IFERROR(IF($L228="","",TEXT(IF($L228&lt;1,HOUR($L228),INT($L228)),"00")&amp;":00"),"")</f>
        <v/>
      </c>
      <c r="L228" s="44"/>
      <c r="M228" s="45"/>
      <c r="N228" s="46"/>
      <c r="O228" s="45"/>
      <c r="P228" s="2"/>
      <c r="Q228" s="2"/>
      <c r="R228" s="2"/>
      <c r="S228" s="2"/>
      <c r="T228" s="2"/>
      <c r="U228" s="47" t="str">
        <f aca="false">IF($G228="","",IF($G228&lt;0,IF(N($U227)=0,1,$U227+1),0))</f>
        <v/>
      </c>
      <c r="V228" s="47" t="str">
        <f aca="false">IF($G228="","",IF($V227="",'Empieza aquí'!$D$8,$V227)+$G228)</f>
        <v/>
      </c>
      <c r="W228" s="47" t="str">
        <f aca="false">IF($V228="","",MAX(IF($W227="",'Empieza aquí'!$D$8,$W227),$V228))</f>
        <v/>
      </c>
      <c r="X228" s="47" t="str">
        <f aca="false">IF($V228="","",$V228-$W228)</f>
        <v/>
      </c>
      <c r="Y228" s="3"/>
      <c r="Z228" s="3"/>
      <c r="AA228" s="3"/>
      <c r="AB228" s="3"/>
      <c r="AC228" s="3"/>
      <c r="AD228" s="3"/>
      <c r="AE228" s="3"/>
      <c r="AF228" s="3"/>
      <c r="AG228" s="3"/>
      <c r="AH228" s="3"/>
    </row>
    <row r="229" customFormat="false" ht="15" hidden="false" customHeight="true" outlineLevel="0" collapsed="false">
      <c r="A229" s="2"/>
      <c r="B229" s="36"/>
      <c r="C229" s="37"/>
      <c r="D229" s="37"/>
      <c r="E229" s="38"/>
      <c r="F229" s="39"/>
      <c r="G229" s="40" t="str">
        <f aca="false">IF(OR($E229="",$C229="",$D229=""),"",$E229*$D229*IFERROR(INDEX(Listas!$C$6:$C$20,MATCH($C229,Listas!$B$6:$B$20,0)),0)-$D229*IFERROR(INDEX(Listas!$D$6:$D$20,MATCH($C229,Listas!$B$6:$B$20,0)),0))</f>
        <v/>
      </c>
      <c r="H229" s="41" t="str">
        <f aca="false">IF(OR($F229="",$C229="",$D229=""),"",ABS($F229)*$D229*IFERROR(INDEX(Listas!$C$6:$C$20,MATCH($C229,Listas!$B$6:$B$20,0)),0))</f>
        <v/>
      </c>
      <c r="I229" s="42" t="str">
        <f aca="false">IF(OR($E229="",$F229="",$F229=0),"",$E229/ABS($F229))</f>
        <v/>
      </c>
      <c r="J229" s="43" t="str">
        <f aca="false">IF($B229="","",INDEX(Listas!$G$6:$G$12,WEEKDAY($B229,1)))</f>
        <v/>
      </c>
      <c r="K229" s="43" t="str">
        <f aca="false">IFERROR(IF($L229="","",TEXT(IF($L229&lt;1,HOUR($L229),INT($L229)),"00")&amp;":00"),"")</f>
        <v/>
      </c>
      <c r="L229" s="44"/>
      <c r="M229" s="45"/>
      <c r="N229" s="46"/>
      <c r="O229" s="45"/>
      <c r="P229" s="2"/>
      <c r="Q229" s="2"/>
      <c r="R229" s="2"/>
      <c r="S229" s="2"/>
      <c r="T229" s="2"/>
      <c r="U229" s="47" t="str">
        <f aca="false">IF($G229="","",IF($G229&lt;0,IF(N($U228)=0,1,$U228+1),0))</f>
        <v/>
      </c>
      <c r="V229" s="47" t="str">
        <f aca="false">IF($G229="","",IF($V228="",'Empieza aquí'!$D$8,$V228)+$G229)</f>
        <v/>
      </c>
      <c r="W229" s="47" t="str">
        <f aca="false">IF($V229="","",MAX(IF($W228="",'Empieza aquí'!$D$8,$W228),$V229))</f>
        <v/>
      </c>
      <c r="X229" s="47" t="str">
        <f aca="false">IF($V229="","",$V229-$W229)</f>
        <v/>
      </c>
      <c r="Y229" s="3"/>
      <c r="Z229" s="3"/>
      <c r="AA229" s="3"/>
      <c r="AB229" s="3"/>
      <c r="AC229" s="3"/>
      <c r="AD229" s="3"/>
      <c r="AE229" s="3"/>
      <c r="AF229" s="3"/>
      <c r="AG229" s="3"/>
      <c r="AH229" s="3"/>
    </row>
    <row r="230" customFormat="false" ht="15" hidden="false" customHeight="true" outlineLevel="0" collapsed="false">
      <c r="A230" s="2"/>
      <c r="B230" s="36"/>
      <c r="C230" s="37"/>
      <c r="D230" s="37"/>
      <c r="E230" s="38"/>
      <c r="F230" s="39"/>
      <c r="G230" s="40" t="str">
        <f aca="false">IF(OR($E230="",$C230="",$D230=""),"",$E230*$D230*IFERROR(INDEX(Listas!$C$6:$C$20,MATCH($C230,Listas!$B$6:$B$20,0)),0)-$D230*IFERROR(INDEX(Listas!$D$6:$D$20,MATCH($C230,Listas!$B$6:$B$20,0)),0))</f>
        <v/>
      </c>
      <c r="H230" s="41" t="str">
        <f aca="false">IF(OR($F230="",$C230="",$D230=""),"",ABS($F230)*$D230*IFERROR(INDEX(Listas!$C$6:$C$20,MATCH($C230,Listas!$B$6:$B$20,0)),0))</f>
        <v/>
      </c>
      <c r="I230" s="42" t="str">
        <f aca="false">IF(OR($E230="",$F230="",$F230=0),"",$E230/ABS($F230))</f>
        <v/>
      </c>
      <c r="J230" s="43" t="str">
        <f aca="false">IF($B230="","",INDEX(Listas!$G$6:$G$12,WEEKDAY($B230,1)))</f>
        <v/>
      </c>
      <c r="K230" s="43" t="str">
        <f aca="false">IFERROR(IF($L230="","",TEXT(IF($L230&lt;1,HOUR($L230),INT($L230)),"00")&amp;":00"),"")</f>
        <v/>
      </c>
      <c r="L230" s="44"/>
      <c r="M230" s="45"/>
      <c r="N230" s="46"/>
      <c r="O230" s="45"/>
      <c r="P230" s="2"/>
      <c r="Q230" s="2"/>
      <c r="R230" s="2"/>
      <c r="S230" s="2"/>
      <c r="T230" s="2"/>
      <c r="U230" s="47" t="str">
        <f aca="false">IF($G230="","",IF($G230&lt;0,IF(N($U229)=0,1,$U229+1),0))</f>
        <v/>
      </c>
      <c r="V230" s="47" t="str">
        <f aca="false">IF($G230="","",IF($V229="",'Empieza aquí'!$D$8,$V229)+$G230)</f>
        <v/>
      </c>
      <c r="W230" s="47" t="str">
        <f aca="false">IF($V230="","",MAX(IF($W229="",'Empieza aquí'!$D$8,$W229),$V230))</f>
        <v/>
      </c>
      <c r="X230" s="47" t="str">
        <f aca="false">IF($V230="","",$V230-$W230)</f>
        <v/>
      </c>
      <c r="Y230" s="3"/>
      <c r="Z230" s="3"/>
      <c r="AA230" s="3"/>
      <c r="AB230" s="3"/>
      <c r="AC230" s="3"/>
      <c r="AD230" s="3"/>
      <c r="AE230" s="3"/>
      <c r="AF230" s="3"/>
      <c r="AG230" s="3"/>
      <c r="AH230" s="3"/>
    </row>
    <row r="231" customFormat="false" ht="15" hidden="false" customHeight="true" outlineLevel="0" collapsed="false">
      <c r="A231" s="2"/>
      <c r="B231" s="36"/>
      <c r="C231" s="37"/>
      <c r="D231" s="37"/>
      <c r="E231" s="38"/>
      <c r="F231" s="39"/>
      <c r="G231" s="40" t="str">
        <f aca="false">IF(OR($E231="",$C231="",$D231=""),"",$E231*$D231*IFERROR(INDEX(Listas!$C$6:$C$20,MATCH($C231,Listas!$B$6:$B$20,0)),0)-$D231*IFERROR(INDEX(Listas!$D$6:$D$20,MATCH($C231,Listas!$B$6:$B$20,0)),0))</f>
        <v/>
      </c>
      <c r="H231" s="41" t="str">
        <f aca="false">IF(OR($F231="",$C231="",$D231=""),"",ABS($F231)*$D231*IFERROR(INDEX(Listas!$C$6:$C$20,MATCH($C231,Listas!$B$6:$B$20,0)),0))</f>
        <v/>
      </c>
      <c r="I231" s="42" t="str">
        <f aca="false">IF(OR($E231="",$F231="",$F231=0),"",$E231/ABS($F231))</f>
        <v/>
      </c>
      <c r="J231" s="43" t="str">
        <f aca="false">IF($B231="","",INDEX(Listas!$G$6:$G$12,WEEKDAY($B231,1)))</f>
        <v/>
      </c>
      <c r="K231" s="43" t="str">
        <f aca="false">IFERROR(IF($L231="","",TEXT(IF($L231&lt;1,HOUR($L231),INT($L231)),"00")&amp;":00"),"")</f>
        <v/>
      </c>
      <c r="L231" s="44"/>
      <c r="M231" s="45"/>
      <c r="N231" s="46"/>
      <c r="O231" s="45"/>
      <c r="P231" s="2"/>
      <c r="Q231" s="2"/>
      <c r="R231" s="2"/>
      <c r="S231" s="2"/>
      <c r="T231" s="2"/>
      <c r="U231" s="47" t="str">
        <f aca="false">IF($G231="","",IF($G231&lt;0,IF(N($U230)=0,1,$U230+1),0))</f>
        <v/>
      </c>
      <c r="V231" s="47" t="str">
        <f aca="false">IF($G231="","",IF($V230="",'Empieza aquí'!$D$8,$V230)+$G231)</f>
        <v/>
      </c>
      <c r="W231" s="47" t="str">
        <f aca="false">IF($V231="","",MAX(IF($W230="",'Empieza aquí'!$D$8,$W230),$V231))</f>
        <v/>
      </c>
      <c r="X231" s="47" t="str">
        <f aca="false">IF($V231="","",$V231-$W231)</f>
        <v/>
      </c>
      <c r="Y231" s="3"/>
      <c r="Z231" s="3"/>
      <c r="AA231" s="3"/>
      <c r="AB231" s="3"/>
      <c r="AC231" s="3"/>
      <c r="AD231" s="3"/>
      <c r="AE231" s="3"/>
      <c r="AF231" s="3"/>
      <c r="AG231" s="3"/>
      <c r="AH231" s="3"/>
    </row>
    <row r="232" customFormat="false" ht="15" hidden="false" customHeight="true" outlineLevel="0" collapsed="false">
      <c r="A232" s="2"/>
      <c r="B232" s="36"/>
      <c r="C232" s="37"/>
      <c r="D232" s="37"/>
      <c r="E232" s="38"/>
      <c r="F232" s="39"/>
      <c r="G232" s="40" t="str">
        <f aca="false">IF(OR($E232="",$C232="",$D232=""),"",$E232*$D232*IFERROR(INDEX(Listas!$C$6:$C$20,MATCH($C232,Listas!$B$6:$B$20,0)),0)-$D232*IFERROR(INDEX(Listas!$D$6:$D$20,MATCH($C232,Listas!$B$6:$B$20,0)),0))</f>
        <v/>
      </c>
      <c r="H232" s="41" t="str">
        <f aca="false">IF(OR($F232="",$C232="",$D232=""),"",ABS($F232)*$D232*IFERROR(INDEX(Listas!$C$6:$C$20,MATCH($C232,Listas!$B$6:$B$20,0)),0))</f>
        <v/>
      </c>
      <c r="I232" s="42" t="str">
        <f aca="false">IF(OR($E232="",$F232="",$F232=0),"",$E232/ABS($F232))</f>
        <v/>
      </c>
      <c r="J232" s="43" t="str">
        <f aca="false">IF($B232="","",INDEX(Listas!$G$6:$G$12,WEEKDAY($B232,1)))</f>
        <v/>
      </c>
      <c r="K232" s="43" t="str">
        <f aca="false">IFERROR(IF($L232="","",TEXT(IF($L232&lt;1,HOUR($L232),INT($L232)),"00")&amp;":00"),"")</f>
        <v/>
      </c>
      <c r="L232" s="44"/>
      <c r="M232" s="45"/>
      <c r="N232" s="46"/>
      <c r="O232" s="45"/>
      <c r="P232" s="2"/>
      <c r="Q232" s="2"/>
      <c r="R232" s="2"/>
      <c r="S232" s="2"/>
      <c r="T232" s="2"/>
      <c r="U232" s="47" t="str">
        <f aca="false">IF($G232="","",IF($G232&lt;0,IF(N($U231)=0,1,$U231+1),0))</f>
        <v/>
      </c>
      <c r="V232" s="47" t="str">
        <f aca="false">IF($G232="","",IF($V231="",'Empieza aquí'!$D$8,$V231)+$G232)</f>
        <v/>
      </c>
      <c r="W232" s="47" t="str">
        <f aca="false">IF($V232="","",MAX(IF($W231="",'Empieza aquí'!$D$8,$W231),$V232))</f>
        <v/>
      </c>
      <c r="X232" s="47" t="str">
        <f aca="false">IF($V232="","",$V232-$W232)</f>
        <v/>
      </c>
      <c r="Y232" s="3"/>
      <c r="Z232" s="3"/>
      <c r="AA232" s="3"/>
      <c r="AB232" s="3"/>
      <c r="AC232" s="3"/>
      <c r="AD232" s="3"/>
      <c r="AE232" s="3"/>
      <c r="AF232" s="3"/>
      <c r="AG232" s="3"/>
      <c r="AH232" s="3"/>
    </row>
    <row r="233" customFormat="false" ht="15" hidden="false" customHeight="true" outlineLevel="0" collapsed="false">
      <c r="A233" s="2"/>
      <c r="B233" s="36"/>
      <c r="C233" s="37"/>
      <c r="D233" s="37"/>
      <c r="E233" s="38"/>
      <c r="F233" s="39"/>
      <c r="G233" s="40" t="str">
        <f aca="false">IF(OR($E233="",$C233="",$D233=""),"",$E233*$D233*IFERROR(INDEX(Listas!$C$6:$C$20,MATCH($C233,Listas!$B$6:$B$20,0)),0)-$D233*IFERROR(INDEX(Listas!$D$6:$D$20,MATCH($C233,Listas!$B$6:$B$20,0)),0))</f>
        <v/>
      </c>
      <c r="H233" s="41" t="str">
        <f aca="false">IF(OR($F233="",$C233="",$D233=""),"",ABS($F233)*$D233*IFERROR(INDEX(Listas!$C$6:$C$20,MATCH($C233,Listas!$B$6:$B$20,0)),0))</f>
        <v/>
      </c>
      <c r="I233" s="42" t="str">
        <f aca="false">IF(OR($E233="",$F233="",$F233=0),"",$E233/ABS($F233))</f>
        <v/>
      </c>
      <c r="J233" s="43" t="str">
        <f aca="false">IF($B233="","",INDEX(Listas!$G$6:$G$12,WEEKDAY($B233,1)))</f>
        <v/>
      </c>
      <c r="K233" s="43" t="str">
        <f aca="false">IFERROR(IF($L233="","",TEXT(IF($L233&lt;1,HOUR($L233),INT($L233)),"00")&amp;":00"),"")</f>
        <v/>
      </c>
      <c r="L233" s="44"/>
      <c r="M233" s="45"/>
      <c r="N233" s="46"/>
      <c r="O233" s="45"/>
      <c r="P233" s="2"/>
      <c r="Q233" s="2"/>
      <c r="R233" s="2"/>
      <c r="S233" s="2"/>
      <c r="T233" s="2"/>
      <c r="U233" s="47" t="str">
        <f aca="false">IF($G233="","",IF($G233&lt;0,IF(N($U232)=0,1,$U232+1),0))</f>
        <v/>
      </c>
      <c r="V233" s="47" t="str">
        <f aca="false">IF($G233="","",IF($V232="",'Empieza aquí'!$D$8,$V232)+$G233)</f>
        <v/>
      </c>
      <c r="W233" s="47" t="str">
        <f aca="false">IF($V233="","",MAX(IF($W232="",'Empieza aquí'!$D$8,$W232),$V233))</f>
        <v/>
      </c>
      <c r="X233" s="47" t="str">
        <f aca="false">IF($V233="","",$V233-$W233)</f>
        <v/>
      </c>
      <c r="Y233" s="3"/>
      <c r="Z233" s="3"/>
      <c r="AA233" s="3"/>
      <c r="AB233" s="3"/>
      <c r="AC233" s="3"/>
      <c r="AD233" s="3"/>
      <c r="AE233" s="3"/>
      <c r="AF233" s="3"/>
      <c r="AG233" s="3"/>
      <c r="AH233" s="3"/>
    </row>
    <row r="234" customFormat="false" ht="15" hidden="false" customHeight="true" outlineLevel="0" collapsed="false">
      <c r="A234" s="2"/>
      <c r="B234" s="36"/>
      <c r="C234" s="37"/>
      <c r="D234" s="37"/>
      <c r="E234" s="38"/>
      <c r="F234" s="39"/>
      <c r="G234" s="40" t="str">
        <f aca="false">IF(OR($E234="",$C234="",$D234=""),"",$E234*$D234*IFERROR(INDEX(Listas!$C$6:$C$20,MATCH($C234,Listas!$B$6:$B$20,0)),0)-$D234*IFERROR(INDEX(Listas!$D$6:$D$20,MATCH($C234,Listas!$B$6:$B$20,0)),0))</f>
        <v/>
      </c>
      <c r="H234" s="41" t="str">
        <f aca="false">IF(OR($F234="",$C234="",$D234=""),"",ABS($F234)*$D234*IFERROR(INDEX(Listas!$C$6:$C$20,MATCH($C234,Listas!$B$6:$B$20,0)),0))</f>
        <v/>
      </c>
      <c r="I234" s="42" t="str">
        <f aca="false">IF(OR($E234="",$F234="",$F234=0),"",$E234/ABS($F234))</f>
        <v/>
      </c>
      <c r="J234" s="43" t="str">
        <f aca="false">IF($B234="","",INDEX(Listas!$G$6:$G$12,WEEKDAY($B234,1)))</f>
        <v/>
      </c>
      <c r="K234" s="43" t="str">
        <f aca="false">IFERROR(IF($L234="","",TEXT(IF($L234&lt;1,HOUR($L234),INT($L234)),"00")&amp;":00"),"")</f>
        <v/>
      </c>
      <c r="L234" s="44"/>
      <c r="M234" s="45"/>
      <c r="N234" s="46"/>
      <c r="O234" s="45"/>
      <c r="P234" s="2"/>
      <c r="Q234" s="2"/>
      <c r="R234" s="2"/>
      <c r="S234" s="2"/>
      <c r="T234" s="2"/>
      <c r="U234" s="47" t="str">
        <f aca="false">IF($G234="","",IF($G234&lt;0,IF(N($U233)=0,1,$U233+1),0))</f>
        <v/>
      </c>
      <c r="V234" s="47" t="str">
        <f aca="false">IF($G234="","",IF($V233="",'Empieza aquí'!$D$8,$V233)+$G234)</f>
        <v/>
      </c>
      <c r="W234" s="47" t="str">
        <f aca="false">IF($V234="","",MAX(IF($W233="",'Empieza aquí'!$D$8,$W233),$V234))</f>
        <v/>
      </c>
      <c r="X234" s="47" t="str">
        <f aca="false">IF($V234="","",$V234-$W234)</f>
        <v/>
      </c>
      <c r="Y234" s="3"/>
      <c r="Z234" s="3"/>
      <c r="AA234" s="3"/>
      <c r="AB234" s="3"/>
      <c r="AC234" s="3"/>
      <c r="AD234" s="3"/>
      <c r="AE234" s="3"/>
      <c r="AF234" s="3"/>
      <c r="AG234" s="3"/>
      <c r="AH234" s="3"/>
    </row>
    <row r="235" customFormat="false" ht="15" hidden="false" customHeight="true" outlineLevel="0" collapsed="false">
      <c r="A235" s="2"/>
      <c r="B235" s="36"/>
      <c r="C235" s="37"/>
      <c r="D235" s="37"/>
      <c r="E235" s="38"/>
      <c r="F235" s="39"/>
      <c r="G235" s="40" t="str">
        <f aca="false">IF(OR($E235="",$C235="",$D235=""),"",$E235*$D235*IFERROR(INDEX(Listas!$C$6:$C$20,MATCH($C235,Listas!$B$6:$B$20,0)),0)-$D235*IFERROR(INDEX(Listas!$D$6:$D$20,MATCH($C235,Listas!$B$6:$B$20,0)),0))</f>
        <v/>
      </c>
      <c r="H235" s="41" t="str">
        <f aca="false">IF(OR($F235="",$C235="",$D235=""),"",ABS($F235)*$D235*IFERROR(INDEX(Listas!$C$6:$C$20,MATCH($C235,Listas!$B$6:$B$20,0)),0))</f>
        <v/>
      </c>
      <c r="I235" s="42" t="str">
        <f aca="false">IF(OR($E235="",$F235="",$F235=0),"",$E235/ABS($F235))</f>
        <v/>
      </c>
      <c r="J235" s="43" t="str">
        <f aca="false">IF($B235="","",INDEX(Listas!$G$6:$G$12,WEEKDAY($B235,1)))</f>
        <v/>
      </c>
      <c r="K235" s="43" t="str">
        <f aca="false">IFERROR(IF($L235="","",TEXT(IF($L235&lt;1,HOUR($L235),INT($L235)),"00")&amp;":00"),"")</f>
        <v/>
      </c>
      <c r="L235" s="44"/>
      <c r="M235" s="45"/>
      <c r="N235" s="46"/>
      <c r="O235" s="45"/>
      <c r="P235" s="2"/>
      <c r="Q235" s="2"/>
      <c r="R235" s="2"/>
      <c r="S235" s="2"/>
      <c r="T235" s="2"/>
      <c r="U235" s="47" t="str">
        <f aca="false">IF($G235="","",IF($G235&lt;0,IF(N($U234)=0,1,$U234+1),0))</f>
        <v/>
      </c>
      <c r="V235" s="47" t="str">
        <f aca="false">IF($G235="","",IF($V234="",'Empieza aquí'!$D$8,$V234)+$G235)</f>
        <v/>
      </c>
      <c r="W235" s="47" t="str">
        <f aca="false">IF($V235="","",MAX(IF($W234="",'Empieza aquí'!$D$8,$W234),$V235))</f>
        <v/>
      </c>
      <c r="X235" s="47" t="str">
        <f aca="false">IF($V235="","",$V235-$W235)</f>
        <v/>
      </c>
      <c r="Y235" s="3"/>
      <c r="Z235" s="3"/>
      <c r="AA235" s="3"/>
      <c r="AB235" s="3"/>
      <c r="AC235" s="3"/>
      <c r="AD235" s="3"/>
      <c r="AE235" s="3"/>
      <c r="AF235" s="3"/>
      <c r="AG235" s="3"/>
      <c r="AH235" s="3"/>
    </row>
    <row r="236" customFormat="false" ht="15" hidden="false" customHeight="true" outlineLevel="0" collapsed="false">
      <c r="A236" s="2"/>
      <c r="B236" s="36"/>
      <c r="C236" s="37"/>
      <c r="D236" s="37"/>
      <c r="E236" s="38"/>
      <c r="F236" s="39"/>
      <c r="G236" s="40" t="str">
        <f aca="false">IF(OR($E236="",$C236="",$D236=""),"",$E236*$D236*IFERROR(INDEX(Listas!$C$6:$C$20,MATCH($C236,Listas!$B$6:$B$20,0)),0)-$D236*IFERROR(INDEX(Listas!$D$6:$D$20,MATCH($C236,Listas!$B$6:$B$20,0)),0))</f>
        <v/>
      </c>
      <c r="H236" s="41" t="str">
        <f aca="false">IF(OR($F236="",$C236="",$D236=""),"",ABS($F236)*$D236*IFERROR(INDEX(Listas!$C$6:$C$20,MATCH($C236,Listas!$B$6:$B$20,0)),0))</f>
        <v/>
      </c>
      <c r="I236" s="42" t="str">
        <f aca="false">IF(OR($E236="",$F236="",$F236=0),"",$E236/ABS($F236))</f>
        <v/>
      </c>
      <c r="J236" s="43" t="str">
        <f aca="false">IF($B236="","",INDEX(Listas!$G$6:$G$12,WEEKDAY($B236,1)))</f>
        <v/>
      </c>
      <c r="K236" s="43" t="str">
        <f aca="false">IFERROR(IF($L236="","",TEXT(IF($L236&lt;1,HOUR($L236),INT($L236)),"00")&amp;":00"),"")</f>
        <v/>
      </c>
      <c r="L236" s="44"/>
      <c r="M236" s="45"/>
      <c r="N236" s="46"/>
      <c r="O236" s="45"/>
      <c r="P236" s="2"/>
      <c r="Q236" s="2"/>
      <c r="R236" s="2"/>
      <c r="S236" s="2"/>
      <c r="T236" s="2"/>
      <c r="U236" s="47" t="str">
        <f aca="false">IF($G236="","",IF($G236&lt;0,IF(N($U235)=0,1,$U235+1),0))</f>
        <v/>
      </c>
      <c r="V236" s="47" t="str">
        <f aca="false">IF($G236="","",IF($V235="",'Empieza aquí'!$D$8,$V235)+$G236)</f>
        <v/>
      </c>
      <c r="W236" s="47" t="str">
        <f aca="false">IF($V236="","",MAX(IF($W235="",'Empieza aquí'!$D$8,$W235),$V236))</f>
        <v/>
      </c>
      <c r="X236" s="47" t="str">
        <f aca="false">IF($V236="","",$V236-$W236)</f>
        <v/>
      </c>
      <c r="Y236" s="3"/>
      <c r="Z236" s="3"/>
      <c r="AA236" s="3"/>
      <c r="AB236" s="3"/>
      <c r="AC236" s="3"/>
      <c r="AD236" s="3"/>
      <c r="AE236" s="3"/>
      <c r="AF236" s="3"/>
      <c r="AG236" s="3"/>
      <c r="AH236" s="3"/>
    </row>
    <row r="237" customFormat="false" ht="15" hidden="false" customHeight="true" outlineLevel="0" collapsed="false">
      <c r="A237" s="2"/>
      <c r="B237" s="36"/>
      <c r="C237" s="37"/>
      <c r="D237" s="37"/>
      <c r="E237" s="38"/>
      <c r="F237" s="39"/>
      <c r="G237" s="40" t="str">
        <f aca="false">IF(OR($E237="",$C237="",$D237=""),"",$E237*$D237*IFERROR(INDEX(Listas!$C$6:$C$20,MATCH($C237,Listas!$B$6:$B$20,0)),0)-$D237*IFERROR(INDEX(Listas!$D$6:$D$20,MATCH($C237,Listas!$B$6:$B$20,0)),0))</f>
        <v/>
      </c>
      <c r="H237" s="41" t="str">
        <f aca="false">IF(OR($F237="",$C237="",$D237=""),"",ABS($F237)*$D237*IFERROR(INDEX(Listas!$C$6:$C$20,MATCH($C237,Listas!$B$6:$B$20,0)),0))</f>
        <v/>
      </c>
      <c r="I237" s="42" t="str">
        <f aca="false">IF(OR($E237="",$F237="",$F237=0),"",$E237/ABS($F237))</f>
        <v/>
      </c>
      <c r="J237" s="43" t="str">
        <f aca="false">IF($B237="","",INDEX(Listas!$G$6:$G$12,WEEKDAY($B237,1)))</f>
        <v/>
      </c>
      <c r="K237" s="43" t="str">
        <f aca="false">IFERROR(IF($L237="","",TEXT(IF($L237&lt;1,HOUR($L237),INT($L237)),"00")&amp;":00"),"")</f>
        <v/>
      </c>
      <c r="L237" s="44"/>
      <c r="M237" s="45"/>
      <c r="N237" s="46"/>
      <c r="O237" s="45"/>
      <c r="P237" s="2"/>
      <c r="Q237" s="2"/>
      <c r="R237" s="2"/>
      <c r="S237" s="2"/>
      <c r="T237" s="2"/>
      <c r="U237" s="47" t="str">
        <f aca="false">IF($G237="","",IF($G237&lt;0,IF(N($U236)=0,1,$U236+1),0))</f>
        <v/>
      </c>
      <c r="V237" s="47" t="str">
        <f aca="false">IF($G237="","",IF($V236="",'Empieza aquí'!$D$8,$V236)+$G237)</f>
        <v/>
      </c>
      <c r="W237" s="47" t="str">
        <f aca="false">IF($V237="","",MAX(IF($W236="",'Empieza aquí'!$D$8,$W236),$V237))</f>
        <v/>
      </c>
      <c r="X237" s="47" t="str">
        <f aca="false">IF($V237="","",$V237-$W237)</f>
        <v/>
      </c>
      <c r="Y237" s="3"/>
      <c r="Z237" s="3"/>
      <c r="AA237" s="3"/>
      <c r="AB237" s="3"/>
      <c r="AC237" s="3"/>
      <c r="AD237" s="3"/>
      <c r="AE237" s="3"/>
      <c r="AF237" s="3"/>
      <c r="AG237" s="3"/>
      <c r="AH237" s="3"/>
    </row>
    <row r="238" customFormat="false" ht="15" hidden="false" customHeight="true" outlineLevel="0" collapsed="false">
      <c r="A238" s="2"/>
      <c r="B238" s="36"/>
      <c r="C238" s="37"/>
      <c r="D238" s="37"/>
      <c r="E238" s="38"/>
      <c r="F238" s="39"/>
      <c r="G238" s="40" t="str">
        <f aca="false">IF(OR($E238="",$C238="",$D238=""),"",$E238*$D238*IFERROR(INDEX(Listas!$C$6:$C$20,MATCH($C238,Listas!$B$6:$B$20,0)),0)-$D238*IFERROR(INDEX(Listas!$D$6:$D$20,MATCH($C238,Listas!$B$6:$B$20,0)),0))</f>
        <v/>
      </c>
      <c r="H238" s="41" t="str">
        <f aca="false">IF(OR($F238="",$C238="",$D238=""),"",ABS($F238)*$D238*IFERROR(INDEX(Listas!$C$6:$C$20,MATCH($C238,Listas!$B$6:$B$20,0)),0))</f>
        <v/>
      </c>
      <c r="I238" s="42" t="str">
        <f aca="false">IF(OR($E238="",$F238="",$F238=0),"",$E238/ABS($F238))</f>
        <v/>
      </c>
      <c r="J238" s="43" t="str">
        <f aca="false">IF($B238="","",INDEX(Listas!$G$6:$G$12,WEEKDAY($B238,1)))</f>
        <v/>
      </c>
      <c r="K238" s="43" t="str">
        <f aca="false">IFERROR(IF($L238="","",TEXT(IF($L238&lt;1,HOUR($L238),INT($L238)),"00")&amp;":00"),"")</f>
        <v/>
      </c>
      <c r="L238" s="44"/>
      <c r="M238" s="45"/>
      <c r="N238" s="46"/>
      <c r="O238" s="45"/>
      <c r="P238" s="2"/>
      <c r="Q238" s="2"/>
      <c r="R238" s="2"/>
      <c r="S238" s="2"/>
      <c r="T238" s="2"/>
      <c r="U238" s="47" t="str">
        <f aca="false">IF($G238="","",IF($G238&lt;0,IF(N($U237)=0,1,$U237+1),0))</f>
        <v/>
      </c>
      <c r="V238" s="47" t="str">
        <f aca="false">IF($G238="","",IF($V237="",'Empieza aquí'!$D$8,$V237)+$G238)</f>
        <v/>
      </c>
      <c r="W238" s="47" t="str">
        <f aca="false">IF($V238="","",MAX(IF($W237="",'Empieza aquí'!$D$8,$W237),$V238))</f>
        <v/>
      </c>
      <c r="X238" s="47" t="str">
        <f aca="false">IF($V238="","",$V238-$W238)</f>
        <v/>
      </c>
      <c r="Y238" s="3"/>
      <c r="Z238" s="3"/>
      <c r="AA238" s="3"/>
      <c r="AB238" s="3"/>
      <c r="AC238" s="3"/>
      <c r="AD238" s="3"/>
      <c r="AE238" s="3"/>
      <c r="AF238" s="3"/>
      <c r="AG238" s="3"/>
      <c r="AH238" s="3"/>
    </row>
    <row r="239" customFormat="false" ht="15" hidden="false" customHeight="true" outlineLevel="0" collapsed="false">
      <c r="A239" s="2"/>
      <c r="B239" s="36"/>
      <c r="C239" s="37"/>
      <c r="D239" s="37"/>
      <c r="E239" s="38"/>
      <c r="F239" s="39"/>
      <c r="G239" s="40" t="str">
        <f aca="false">IF(OR($E239="",$C239="",$D239=""),"",$E239*$D239*IFERROR(INDEX(Listas!$C$6:$C$20,MATCH($C239,Listas!$B$6:$B$20,0)),0)-$D239*IFERROR(INDEX(Listas!$D$6:$D$20,MATCH($C239,Listas!$B$6:$B$20,0)),0))</f>
        <v/>
      </c>
      <c r="H239" s="41" t="str">
        <f aca="false">IF(OR($F239="",$C239="",$D239=""),"",ABS($F239)*$D239*IFERROR(INDEX(Listas!$C$6:$C$20,MATCH($C239,Listas!$B$6:$B$20,0)),0))</f>
        <v/>
      </c>
      <c r="I239" s="42" t="str">
        <f aca="false">IF(OR($E239="",$F239="",$F239=0),"",$E239/ABS($F239))</f>
        <v/>
      </c>
      <c r="J239" s="43" t="str">
        <f aca="false">IF($B239="","",INDEX(Listas!$G$6:$G$12,WEEKDAY($B239,1)))</f>
        <v/>
      </c>
      <c r="K239" s="43" t="str">
        <f aca="false">IFERROR(IF($L239="","",TEXT(IF($L239&lt;1,HOUR($L239),INT($L239)),"00")&amp;":00"),"")</f>
        <v/>
      </c>
      <c r="L239" s="44"/>
      <c r="M239" s="45"/>
      <c r="N239" s="46"/>
      <c r="O239" s="45"/>
      <c r="P239" s="2"/>
      <c r="Q239" s="2"/>
      <c r="R239" s="2"/>
      <c r="S239" s="2"/>
      <c r="T239" s="2"/>
      <c r="U239" s="47" t="str">
        <f aca="false">IF($G239="","",IF($G239&lt;0,IF(N($U238)=0,1,$U238+1),0))</f>
        <v/>
      </c>
      <c r="V239" s="47" t="str">
        <f aca="false">IF($G239="","",IF($V238="",'Empieza aquí'!$D$8,$V238)+$G239)</f>
        <v/>
      </c>
      <c r="W239" s="47" t="str">
        <f aca="false">IF($V239="","",MAX(IF($W238="",'Empieza aquí'!$D$8,$W238),$V239))</f>
        <v/>
      </c>
      <c r="X239" s="47" t="str">
        <f aca="false">IF($V239="","",$V239-$W239)</f>
        <v/>
      </c>
      <c r="Y239" s="3"/>
      <c r="Z239" s="3"/>
      <c r="AA239" s="3"/>
      <c r="AB239" s="3"/>
      <c r="AC239" s="3"/>
      <c r="AD239" s="3"/>
      <c r="AE239" s="3"/>
      <c r="AF239" s="3"/>
      <c r="AG239" s="3"/>
      <c r="AH239" s="3"/>
    </row>
    <row r="240" customFormat="false" ht="15" hidden="false" customHeight="true" outlineLevel="0" collapsed="false">
      <c r="A240" s="2"/>
      <c r="B240" s="36"/>
      <c r="C240" s="37"/>
      <c r="D240" s="37"/>
      <c r="E240" s="38"/>
      <c r="F240" s="39"/>
      <c r="G240" s="40" t="str">
        <f aca="false">IF(OR($E240="",$C240="",$D240=""),"",$E240*$D240*IFERROR(INDEX(Listas!$C$6:$C$20,MATCH($C240,Listas!$B$6:$B$20,0)),0)-$D240*IFERROR(INDEX(Listas!$D$6:$D$20,MATCH($C240,Listas!$B$6:$B$20,0)),0))</f>
        <v/>
      </c>
      <c r="H240" s="41" t="str">
        <f aca="false">IF(OR($F240="",$C240="",$D240=""),"",ABS($F240)*$D240*IFERROR(INDEX(Listas!$C$6:$C$20,MATCH($C240,Listas!$B$6:$B$20,0)),0))</f>
        <v/>
      </c>
      <c r="I240" s="42" t="str">
        <f aca="false">IF(OR($E240="",$F240="",$F240=0),"",$E240/ABS($F240))</f>
        <v/>
      </c>
      <c r="J240" s="43" t="str">
        <f aca="false">IF($B240="","",INDEX(Listas!$G$6:$G$12,WEEKDAY($B240,1)))</f>
        <v/>
      </c>
      <c r="K240" s="43" t="str">
        <f aca="false">IFERROR(IF($L240="","",TEXT(IF($L240&lt;1,HOUR($L240),INT($L240)),"00")&amp;":00"),"")</f>
        <v/>
      </c>
      <c r="L240" s="44"/>
      <c r="M240" s="45"/>
      <c r="N240" s="46"/>
      <c r="O240" s="45"/>
      <c r="P240" s="2"/>
      <c r="Q240" s="2"/>
      <c r="R240" s="2"/>
      <c r="S240" s="2"/>
      <c r="T240" s="2"/>
      <c r="U240" s="47" t="str">
        <f aca="false">IF($G240="","",IF($G240&lt;0,IF(N($U239)=0,1,$U239+1),0))</f>
        <v/>
      </c>
      <c r="V240" s="47" t="str">
        <f aca="false">IF($G240="","",IF($V239="",'Empieza aquí'!$D$8,$V239)+$G240)</f>
        <v/>
      </c>
      <c r="W240" s="47" t="str">
        <f aca="false">IF($V240="","",MAX(IF($W239="",'Empieza aquí'!$D$8,$W239),$V240))</f>
        <v/>
      </c>
      <c r="X240" s="47" t="str">
        <f aca="false">IF($V240="","",$V240-$W240)</f>
        <v/>
      </c>
      <c r="Y240" s="3"/>
      <c r="Z240" s="3"/>
      <c r="AA240" s="3"/>
      <c r="AB240" s="3"/>
      <c r="AC240" s="3"/>
      <c r="AD240" s="3"/>
      <c r="AE240" s="3"/>
      <c r="AF240" s="3"/>
      <c r="AG240" s="3"/>
      <c r="AH240" s="3"/>
    </row>
    <row r="241" customFormat="false" ht="15" hidden="false" customHeight="true" outlineLevel="0" collapsed="false">
      <c r="A241" s="2"/>
      <c r="B241" s="36"/>
      <c r="C241" s="37"/>
      <c r="D241" s="37"/>
      <c r="E241" s="38"/>
      <c r="F241" s="39"/>
      <c r="G241" s="40" t="str">
        <f aca="false">IF(OR($E241="",$C241="",$D241=""),"",$E241*$D241*IFERROR(INDEX(Listas!$C$6:$C$20,MATCH($C241,Listas!$B$6:$B$20,0)),0)-$D241*IFERROR(INDEX(Listas!$D$6:$D$20,MATCH($C241,Listas!$B$6:$B$20,0)),0))</f>
        <v/>
      </c>
      <c r="H241" s="41" t="str">
        <f aca="false">IF(OR($F241="",$C241="",$D241=""),"",ABS($F241)*$D241*IFERROR(INDEX(Listas!$C$6:$C$20,MATCH($C241,Listas!$B$6:$B$20,0)),0))</f>
        <v/>
      </c>
      <c r="I241" s="42" t="str">
        <f aca="false">IF(OR($E241="",$F241="",$F241=0),"",$E241/ABS($F241))</f>
        <v/>
      </c>
      <c r="J241" s="43" t="str">
        <f aca="false">IF($B241="","",INDEX(Listas!$G$6:$G$12,WEEKDAY($B241,1)))</f>
        <v/>
      </c>
      <c r="K241" s="43" t="str">
        <f aca="false">IFERROR(IF($L241="","",TEXT(IF($L241&lt;1,HOUR($L241),INT($L241)),"00")&amp;":00"),"")</f>
        <v/>
      </c>
      <c r="L241" s="44"/>
      <c r="M241" s="45"/>
      <c r="N241" s="46"/>
      <c r="O241" s="45"/>
      <c r="P241" s="2"/>
      <c r="Q241" s="2"/>
      <c r="R241" s="2"/>
      <c r="S241" s="2"/>
      <c r="T241" s="2"/>
      <c r="U241" s="47" t="str">
        <f aca="false">IF($G241="","",IF($G241&lt;0,IF(N($U240)=0,1,$U240+1),0))</f>
        <v/>
      </c>
      <c r="V241" s="47" t="str">
        <f aca="false">IF($G241="","",IF($V240="",'Empieza aquí'!$D$8,$V240)+$G241)</f>
        <v/>
      </c>
      <c r="W241" s="47" t="str">
        <f aca="false">IF($V241="","",MAX(IF($W240="",'Empieza aquí'!$D$8,$W240),$V241))</f>
        <v/>
      </c>
      <c r="X241" s="47" t="str">
        <f aca="false">IF($V241="","",$V241-$W241)</f>
        <v/>
      </c>
      <c r="Y241" s="3"/>
      <c r="Z241" s="3"/>
      <c r="AA241" s="3"/>
      <c r="AB241" s="3"/>
      <c r="AC241" s="3"/>
      <c r="AD241" s="3"/>
      <c r="AE241" s="3"/>
      <c r="AF241" s="3"/>
      <c r="AG241" s="3"/>
      <c r="AH241" s="3"/>
    </row>
    <row r="242" customFormat="false" ht="15" hidden="false" customHeight="true" outlineLevel="0" collapsed="false">
      <c r="A242" s="2"/>
      <c r="B242" s="36"/>
      <c r="C242" s="37"/>
      <c r="D242" s="37"/>
      <c r="E242" s="38"/>
      <c r="F242" s="39"/>
      <c r="G242" s="40" t="str">
        <f aca="false">IF(OR($E242="",$C242="",$D242=""),"",$E242*$D242*IFERROR(INDEX(Listas!$C$6:$C$20,MATCH($C242,Listas!$B$6:$B$20,0)),0)-$D242*IFERROR(INDEX(Listas!$D$6:$D$20,MATCH($C242,Listas!$B$6:$B$20,0)),0))</f>
        <v/>
      </c>
      <c r="H242" s="41" t="str">
        <f aca="false">IF(OR($F242="",$C242="",$D242=""),"",ABS($F242)*$D242*IFERROR(INDEX(Listas!$C$6:$C$20,MATCH($C242,Listas!$B$6:$B$20,0)),0))</f>
        <v/>
      </c>
      <c r="I242" s="42" t="str">
        <f aca="false">IF(OR($E242="",$F242="",$F242=0),"",$E242/ABS($F242))</f>
        <v/>
      </c>
      <c r="J242" s="43" t="str">
        <f aca="false">IF($B242="","",INDEX(Listas!$G$6:$G$12,WEEKDAY($B242,1)))</f>
        <v/>
      </c>
      <c r="K242" s="43" t="str">
        <f aca="false">IFERROR(IF($L242="","",TEXT(IF($L242&lt;1,HOUR($L242),INT($L242)),"00")&amp;":00"),"")</f>
        <v/>
      </c>
      <c r="L242" s="44"/>
      <c r="M242" s="45"/>
      <c r="N242" s="46"/>
      <c r="O242" s="45"/>
      <c r="P242" s="2"/>
      <c r="Q242" s="2"/>
      <c r="R242" s="2"/>
      <c r="S242" s="2"/>
      <c r="T242" s="2"/>
      <c r="U242" s="47" t="str">
        <f aca="false">IF($G242="","",IF($G242&lt;0,IF(N($U241)=0,1,$U241+1),0))</f>
        <v/>
      </c>
      <c r="V242" s="47" t="str">
        <f aca="false">IF($G242="","",IF($V241="",'Empieza aquí'!$D$8,$V241)+$G242)</f>
        <v/>
      </c>
      <c r="W242" s="47" t="str">
        <f aca="false">IF($V242="","",MAX(IF($W241="",'Empieza aquí'!$D$8,$W241),$V242))</f>
        <v/>
      </c>
      <c r="X242" s="47" t="str">
        <f aca="false">IF($V242="","",$V242-$W242)</f>
        <v/>
      </c>
      <c r="Y242" s="3"/>
      <c r="Z242" s="3"/>
      <c r="AA242" s="3"/>
      <c r="AB242" s="3"/>
      <c r="AC242" s="3"/>
      <c r="AD242" s="3"/>
      <c r="AE242" s="3"/>
      <c r="AF242" s="3"/>
      <c r="AG242" s="3"/>
      <c r="AH242" s="3"/>
    </row>
    <row r="243" customFormat="false" ht="15" hidden="false" customHeight="true" outlineLevel="0" collapsed="false">
      <c r="A243" s="2"/>
      <c r="B243" s="36"/>
      <c r="C243" s="37"/>
      <c r="D243" s="37"/>
      <c r="E243" s="38"/>
      <c r="F243" s="39"/>
      <c r="G243" s="40" t="str">
        <f aca="false">IF(OR($E243="",$C243="",$D243=""),"",$E243*$D243*IFERROR(INDEX(Listas!$C$6:$C$20,MATCH($C243,Listas!$B$6:$B$20,0)),0)-$D243*IFERROR(INDEX(Listas!$D$6:$D$20,MATCH($C243,Listas!$B$6:$B$20,0)),0))</f>
        <v/>
      </c>
      <c r="H243" s="41" t="str">
        <f aca="false">IF(OR($F243="",$C243="",$D243=""),"",ABS($F243)*$D243*IFERROR(INDEX(Listas!$C$6:$C$20,MATCH($C243,Listas!$B$6:$B$20,0)),0))</f>
        <v/>
      </c>
      <c r="I243" s="42" t="str">
        <f aca="false">IF(OR($E243="",$F243="",$F243=0),"",$E243/ABS($F243))</f>
        <v/>
      </c>
      <c r="J243" s="43" t="str">
        <f aca="false">IF($B243="","",INDEX(Listas!$G$6:$G$12,WEEKDAY($B243,1)))</f>
        <v/>
      </c>
      <c r="K243" s="43" t="str">
        <f aca="false">IFERROR(IF($L243="","",TEXT(IF($L243&lt;1,HOUR($L243),INT($L243)),"00")&amp;":00"),"")</f>
        <v/>
      </c>
      <c r="L243" s="44"/>
      <c r="M243" s="45"/>
      <c r="N243" s="46"/>
      <c r="O243" s="45"/>
      <c r="P243" s="2"/>
      <c r="Q243" s="2"/>
      <c r="R243" s="2"/>
      <c r="S243" s="2"/>
      <c r="T243" s="2"/>
      <c r="U243" s="47" t="str">
        <f aca="false">IF($G243="","",IF($G243&lt;0,IF(N($U242)=0,1,$U242+1),0))</f>
        <v/>
      </c>
      <c r="V243" s="47" t="str">
        <f aca="false">IF($G243="","",IF($V242="",'Empieza aquí'!$D$8,$V242)+$G243)</f>
        <v/>
      </c>
      <c r="W243" s="47" t="str">
        <f aca="false">IF($V243="","",MAX(IF($W242="",'Empieza aquí'!$D$8,$W242),$V243))</f>
        <v/>
      </c>
      <c r="X243" s="47" t="str">
        <f aca="false">IF($V243="","",$V243-$W243)</f>
        <v/>
      </c>
      <c r="Y243" s="3"/>
      <c r="Z243" s="3"/>
      <c r="AA243" s="3"/>
      <c r="AB243" s="3"/>
      <c r="AC243" s="3"/>
      <c r="AD243" s="3"/>
      <c r="AE243" s="3"/>
      <c r="AF243" s="3"/>
      <c r="AG243" s="3"/>
      <c r="AH243" s="3"/>
    </row>
    <row r="244" customFormat="false" ht="15" hidden="false" customHeight="true" outlineLevel="0" collapsed="false">
      <c r="A244" s="2"/>
      <c r="B244" s="36"/>
      <c r="C244" s="37"/>
      <c r="D244" s="37"/>
      <c r="E244" s="38"/>
      <c r="F244" s="39"/>
      <c r="G244" s="40" t="str">
        <f aca="false">IF(OR($E244="",$C244="",$D244=""),"",$E244*$D244*IFERROR(INDEX(Listas!$C$6:$C$20,MATCH($C244,Listas!$B$6:$B$20,0)),0)-$D244*IFERROR(INDEX(Listas!$D$6:$D$20,MATCH($C244,Listas!$B$6:$B$20,0)),0))</f>
        <v/>
      </c>
      <c r="H244" s="41" t="str">
        <f aca="false">IF(OR($F244="",$C244="",$D244=""),"",ABS($F244)*$D244*IFERROR(INDEX(Listas!$C$6:$C$20,MATCH($C244,Listas!$B$6:$B$20,0)),0))</f>
        <v/>
      </c>
      <c r="I244" s="42" t="str">
        <f aca="false">IF(OR($E244="",$F244="",$F244=0),"",$E244/ABS($F244))</f>
        <v/>
      </c>
      <c r="J244" s="43" t="str">
        <f aca="false">IF($B244="","",INDEX(Listas!$G$6:$G$12,WEEKDAY($B244,1)))</f>
        <v/>
      </c>
      <c r="K244" s="43" t="str">
        <f aca="false">IFERROR(IF($L244="","",TEXT(IF($L244&lt;1,HOUR($L244),INT($L244)),"00")&amp;":00"),"")</f>
        <v/>
      </c>
      <c r="L244" s="44"/>
      <c r="M244" s="45"/>
      <c r="N244" s="46"/>
      <c r="O244" s="45"/>
      <c r="P244" s="2"/>
      <c r="Q244" s="2"/>
      <c r="R244" s="2"/>
      <c r="S244" s="2"/>
      <c r="T244" s="2"/>
      <c r="U244" s="47" t="str">
        <f aca="false">IF($G244="","",IF($G244&lt;0,IF(N($U243)=0,1,$U243+1),0))</f>
        <v/>
      </c>
      <c r="V244" s="47" t="str">
        <f aca="false">IF($G244="","",IF($V243="",'Empieza aquí'!$D$8,$V243)+$G244)</f>
        <v/>
      </c>
      <c r="W244" s="47" t="str">
        <f aca="false">IF($V244="","",MAX(IF($W243="",'Empieza aquí'!$D$8,$W243),$V244))</f>
        <v/>
      </c>
      <c r="X244" s="47" t="str">
        <f aca="false">IF($V244="","",$V244-$W244)</f>
        <v/>
      </c>
      <c r="Y244" s="3"/>
      <c r="Z244" s="3"/>
      <c r="AA244" s="3"/>
      <c r="AB244" s="3"/>
      <c r="AC244" s="3"/>
      <c r="AD244" s="3"/>
      <c r="AE244" s="3"/>
      <c r="AF244" s="3"/>
      <c r="AG244" s="3"/>
      <c r="AH244" s="3"/>
    </row>
    <row r="245" customFormat="false" ht="15" hidden="false" customHeight="true" outlineLevel="0" collapsed="false">
      <c r="A245" s="2"/>
      <c r="B245" s="36"/>
      <c r="C245" s="37"/>
      <c r="D245" s="37"/>
      <c r="E245" s="38"/>
      <c r="F245" s="39"/>
      <c r="G245" s="40" t="str">
        <f aca="false">IF(OR($E245="",$C245="",$D245=""),"",$E245*$D245*IFERROR(INDEX(Listas!$C$6:$C$20,MATCH($C245,Listas!$B$6:$B$20,0)),0)-$D245*IFERROR(INDEX(Listas!$D$6:$D$20,MATCH($C245,Listas!$B$6:$B$20,0)),0))</f>
        <v/>
      </c>
      <c r="H245" s="41" t="str">
        <f aca="false">IF(OR($F245="",$C245="",$D245=""),"",ABS($F245)*$D245*IFERROR(INDEX(Listas!$C$6:$C$20,MATCH($C245,Listas!$B$6:$B$20,0)),0))</f>
        <v/>
      </c>
      <c r="I245" s="42" t="str">
        <f aca="false">IF(OR($E245="",$F245="",$F245=0),"",$E245/ABS($F245))</f>
        <v/>
      </c>
      <c r="J245" s="43" t="str">
        <f aca="false">IF($B245="","",INDEX(Listas!$G$6:$G$12,WEEKDAY($B245,1)))</f>
        <v/>
      </c>
      <c r="K245" s="43" t="str">
        <f aca="false">IFERROR(IF($L245="","",TEXT(IF($L245&lt;1,HOUR($L245),INT($L245)),"00")&amp;":00"),"")</f>
        <v/>
      </c>
      <c r="L245" s="44"/>
      <c r="M245" s="45"/>
      <c r="N245" s="46"/>
      <c r="O245" s="45"/>
      <c r="P245" s="2"/>
      <c r="Q245" s="2"/>
      <c r="R245" s="2"/>
      <c r="S245" s="2"/>
      <c r="T245" s="2"/>
      <c r="U245" s="47" t="str">
        <f aca="false">IF($G245="","",IF($G245&lt;0,IF(N($U244)=0,1,$U244+1),0))</f>
        <v/>
      </c>
      <c r="V245" s="47" t="str">
        <f aca="false">IF($G245="","",IF($V244="",'Empieza aquí'!$D$8,$V244)+$G245)</f>
        <v/>
      </c>
      <c r="W245" s="47" t="str">
        <f aca="false">IF($V245="","",MAX(IF($W244="",'Empieza aquí'!$D$8,$W244),$V245))</f>
        <v/>
      </c>
      <c r="X245" s="47" t="str">
        <f aca="false">IF($V245="","",$V245-$W245)</f>
        <v/>
      </c>
      <c r="Y245" s="3"/>
      <c r="Z245" s="3"/>
      <c r="AA245" s="3"/>
      <c r="AB245" s="3"/>
      <c r="AC245" s="3"/>
      <c r="AD245" s="3"/>
      <c r="AE245" s="3"/>
      <c r="AF245" s="3"/>
      <c r="AG245" s="3"/>
      <c r="AH245" s="3"/>
    </row>
    <row r="246" customFormat="false" ht="15" hidden="false" customHeight="true" outlineLevel="0" collapsed="false">
      <c r="A246" s="2"/>
      <c r="B246" s="36"/>
      <c r="C246" s="37"/>
      <c r="D246" s="37"/>
      <c r="E246" s="38"/>
      <c r="F246" s="39"/>
      <c r="G246" s="40" t="str">
        <f aca="false">IF(OR($E246="",$C246="",$D246=""),"",$E246*$D246*IFERROR(INDEX(Listas!$C$6:$C$20,MATCH($C246,Listas!$B$6:$B$20,0)),0)-$D246*IFERROR(INDEX(Listas!$D$6:$D$20,MATCH($C246,Listas!$B$6:$B$20,0)),0))</f>
        <v/>
      </c>
      <c r="H246" s="41" t="str">
        <f aca="false">IF(OR($F246="",$C246="",$D246=""),"",ABS($F246)*$D246*IFERROR(INDEX(Listas!$C$6:$C$20,MATCH($C246,Listas!$B$6:$B$20,0)),0))</f>
        <v/>
      </c>
      <c r="I246" s="42" t="str">
        <f aca="false">IF(OR($E246="",$F246="",$F246=0),"",$E246/ABS($F246))</f>
        <v/>
      </c>
      <c r="J246" s="43" t="str">
        <f aca="false">IF($B246="","",INDEX(Listas!$G$6:$G$12,WEEKDAY($B246,1)))</f>
        <v/>
      </c>
      <c r="K246" s="43" t="str">
        <f aca="false">IFERROR(IF($L246="","",TEXT(IF($L246&lt;1,HOUR($L246),INT($L246)),"00")&amp;":00"),"")</f>
        <v/>
      </c>
      <c r="L246" s="44"/>
      <c r="M246" s="45"/>
      <c r="N246" s="46"/>
      <c r="O246" s="45"/>
      <c r="P246" s="2"/>
      <c r="Q246" s="2"/>
      <c r="R246" s="2"/>
      <c r="S246" s="2"/>
      <c r="T246" s="2"/>
      <c r="U246" s="47" t="str">
        <f aca="false">IF($G246="","",IF($G246&lt;0,IF(N($U245)=0,1,$U245+1),0))</f>
        <v/>
      </c>
      <c r="V246" s="47" t="str">
        <f aca="false">IF($G246="","",IF($V245="",'Empieza aquí'!$D$8,$V245)+$G246)</f>
        <v/>
      </c>
      <c r="W246" s="47" t="str">
        <f aca="false">IF($V246="","",MAX(IF($W245="",'Empieza aquí'!$D$8,$W245),$V246))</f>
        <v/>
      </c>
      <c r="X246" s="47" t="str">
        <f aca="false">IF($V246="","",$V246-$W246)</f>
        <v/>
      </c>
      <c r="Y246" s="3"/>
      <c r="Z246" s="3"/>
      <c r="AA246" s="3"/>
      <c r="AB246" s="3"/>
      <c r="AC246" s="3"/>
      <c r="AD246" s="3"/>
      <c r="AE246" s="3"/>
      <c r="AF246" s="3"/>
      <c r="AG246" s="3"/>
      <c r="AH246" s="3"/>
    </row>
    <row r="247" customFormat="false" ht="15" hidden="false" customHeight="true" outlineLevel="0" collapsed="false">
      <c r="A247" s="2"/>
      <c r="B247" s="36"/>
      <c r="C247" s="37"/>
      <c r="D247" s="37"/>
      <c r="E247" s="38"/>
      <c r="F247" s="39"/>
      <c r="G247" s="40" t="str">
        <f aca="false">IF(OR($E247="",$C247="",$D247=""),"",$E247*$D247*IFERROR(INDEX(Listas!$C$6:$C$20,MATCH($C247,Listas!$B$6:$B$20,0)),0)-$D247*IFERROR(INDEX(Listas!$D$6:$D$20,MATCH($C247,Listas!$B$6:$B$20,0)),0))</f>
        <v/>
      </c>
      <c r="H247" s="41" t="str">
        <f aca="false">IF(OR($F247="",$C247="",$D247=""),"",ABS($F247)*$D247*IFERROR(INDEX(Listas!$C$6:$C$20,MATCH($C247,Listas!$B$6:$B$20,0)),0))</f>
        <v/>
      </c>
      <c r="I247" s="42" t="str">
        <f aca="false">IF(OR($E247="",$F247="",$F247=0),"",$E247/ABS($F247))</f>
        <v/>
      </c>
      <c r="J247" s="43" t="str">
        <f aca="false">IF($B247="","",INDEX(Listas!$G$6:$G$12,WEEKDAY($B247,1)))</f>
        <v/>
      </c>
      <c r="K247" s="43" t="str">
        <f aca="false">IFERROR(IF($L247="","",TEXT(IF($L247&lt;1,HOUR($L247),INT($L247)),"00")&amp;":00"),"")</f>
        <v/>
      </c>
      <c r="L247" s="44"/>
      <c r="M247" s="45"/>
      <c r="N247" s="46"/>
      <c r="O247" s="45"/>
      <c r="P247" s="2"/>
      <c r="Q247" s="2"/>
      <c r="R247" s="2"/>
      <c r="S247" s="2"/>
      <c r="T247" s="2"/>
      <c r="U247" s="47" t="str">
        <f aca="false">IF($G247="","",IF($G247&lt;0,IF(N($U246)=0,1,$U246+1),0))</f>
        <v/>
      </c>
      <c r="V247" s="47" t="str">
        <f aca="false">IF($G247="","",IF($V246="",'Empieza aquí'!$D$8,$V246)+$G247)</f>
        <v/>
      </c>
      <c r="W247" s="47" t="str">
        <f aca="false">IF($V247="","",MAX(IF($W246="",'Empieza aquí'!$D$8,$W246),$V247))</f>
        <v/>
      </c>
      <c r="X247" s="47" t="str">
        <f aca="false">IF($V247="","",$V247-$W247)</f>
        <v/>
      </c>
      <c r="Y247" s="3"/>
      <c r="Z247" s="3"/>
      <c r="AA247" s="3"/>
      <c r="AB247" s="3"/>
      <c r="AC247" s="3"/>
      <c r="AD247" s="3"/>
      <c r="AE247" s="3"/>
      <c r="AF247" s="3"/>
      <c r="AG247" s="3"/>
      <c r="AH247" s="3"/>
    </row>
    <row r="248" customFormat="false" ht="15" hidden="false" customHeight="true" outlineLevel="0" collapsed="false">
      <c r="A248" s="2"/>
      <c r="B248" s="36"/>
      <c r="C248" s="37"/>
      <c r="D248" s="37"/>
      <c r="E248" s="38"/>
      <c r="F248" s="39"/>
      <c r="G248" s="40" t="str">
        <f aca="false">IF(OR($E248="",$C248="",$D248=""),"",$E248*$D248*IFERROR(INDEX(Listas!$C$6:$C$20,MATCH($C248,Listas!$B$6:$B$20,0)),0)-$D248*IFERROR(INDEX(Listas!$D$6:$D$20,MATCH($C248,Listas!$B$6:$B$20,0)),0))</f>
        <v/>
      </c>
      <c r="H248" s="41" t="str">
        <f aca="false">IF(OR($F248="",$C248="",$D248=""),"",ABS($F248)*$D248*IFERROR(INDEX(Listas!$C$6:$C$20,MATCH($C248,Listas!$B$6:$B$20,0)),0))</f>
        <v/>
      </c>
      <c r="I248" s="42" t="str">
        <f aca="false">IF(OR($E248="",$F248="",$F248=0),"",$E248/ABS($F248))</f>
        <v/>
      </c>
      <c r="J248" s="43" t="str">
        <f aca="false">IF($B248="","",INDEX(Listas!$G$6:$G$12,WEEKDAY($B248,1)))</f>
        <v/>
      </c>
      <c r="K248" s="43" t="str">
        <f aca="false">IFERROR(IF($L248="","",TEXT(IF($L248&lt;1,HOUR($L248),INT($L248)),"00")&amp;":00"),"")</f>
        <v/>
      </c>
      <c r="L248" s="44"/>
      <c r="M248" s="45"/>
      <c r="N248" s="46"/>
      <c r="O248" s="45"/>
      <c r="P248" s="2"/>
      <c r="Q248" s="2"/>
      <c r="R248" s="2"/>
      <c r="S248" s="2"/>
      <c r="T248" s="2"/>
      <c r="U248" s="47" t="str">
        <f aca="false">IF($G248="","",IF($G248&lt;0,IF(N($U247)=0,1,$U247+1),0))</f>
        <v/>
      </c>
      <c r="V248" s="47" t="str">
        <f aca="false">IF($G248="","",IF($V247="",'Empieza aquí'!$D$8,$V247)+$G248)</f>
        <v/>
      </c>
      <c r="W248" s="47" t="str">
        <f aca="false">IF($V248="","",MAX(IF($W247="",'Empieza aquí'!$D$8,$W247),$V248))</f>
        <v/>
      </c>
      <c r="X248" s="47" t="str">
        <f aca="false">IF($V248="","",$V248-$W248)</f>
        <v/>
      </c>
      <c r="Y248" s="3"/>
      <c r="Z248" s="3"/>
      <c r="AA248" s="3"/>
      <c r="AB248" s="3"/>
      <c r="AC248" s="3"/>
      <c r="AD248" s="3"/>
      <c r="AE248" s="3"/>
      <c r="AF248" s="3"/>
      <c r="AG248" s="3"/>
      <c r="AH248" s="3"/>
    </row>
    <row r="249" customFormat="false" ht="15" hidden="false" customHeight="true" outlineLevel="0" collapsed="false">
      <c r="A249" s="2"/>
      <c r="B249" s="36"/>
      <c r="C249" s="37"/>
      <c r="D249" s="37"/>
      <c r="E249" s="38"/>
      <c r="F249" s="39"/>
      <c r="G249" s="40" t="str">
        <f aca="false">IF(OR($E249="",$C249="",$D249=""),"",$E249*$D249*IFERROR(INDEX(Listas!$C$6:$C$20,MATCH($C249,Listas!$B$6:$B$20,0)),0)-$D249*IFERROR(INDEX(Listas!$D$6:$D$20,MATCH($C249,Listas!$B$6:$B$20,0)),0))</f>
        <v/>
      </c>
      <c r="H249" s="41" t="str">
        <f aca="false">IF(OR($F249="",$C249="",$D249=""),"",ABS($F249)*$D249*IFERROR(INDEX(Listas!$C$6:$C$20,MATCH($C249,Listas!$B$6:$B$20,0)),0))</f>
        <v/>
      </c>
      <c r="I249" s="42" t="str">
        <f aca="false">IF(OR($E249="",$F249="",$F249=0),"",$E249/ABS($F249))</f>
        <v/>
      </c>
      <c r="J249" s="43" t="str">
        <f aca="false">IF($B249="","",INDEX(Listas!$G$6:$G$12,WEEKDAY($B249,1)))</f>
        <v/>
      </c>
      <c r="K249" s="43" t="str">
        <f aca="false">IFERROR(IF($L249="","",TEXT(IF($L249&lt;1,HOUR($L249),INT($L249)),"00")&amp;":00"),"")</f>
        <v/>
      </c>
      <c r="L249" s="44"/>
      <c r="M249" s="45"/>
      <c r="N249" s="46"/>
      <c r="O249" s="45"/>
      <c r="P249" s="2"/>
      <c r="Q249" s="2"/>
      <c r="R249" s="2"/>
      <c r="S249" s="2"/>
      <c r="T249" s="2"/>
      <c r="U249" s="47" t="str">
        <f aca="false">IF($G249="","",IF($G249&lt;0,IF(N($U248)=0,1,$U248+1),0))</f>
        <v/>
      </c>
      <c r="V249" s="47" t="str">
        <f aca="false">IF($G249="","",IF($V248="",'Empieza aquí'!$D$8,$V248)+$G249)</f>
        <v/>
      </c>
      <c r="W249" s="47" t="str">
        <f aca="false">IF($V249="","",MAX(IF($W248="",'Empieza aquí'!$D$8,$W248),$V249))</f>
        <v/>
      </c>
      <c r="X249" s="47" t="str">
        <f aca="false">IF($V249="","",$V249-$W249)</f>
        <v/>
      </c>
      <c r="Y249" s="3"/>
      <c r="Z249" s="3"/>
      <c r="AA249" s="3"/>
      <c r="AB249" s="3"/>
      <c r="AC249" s="3"/>
      <c r="AD249" s="3"/>
      <c r="AE249" s="3"/>
      <c r="AF249" s="3"/>
      <c r="AG249" s="3"/>
      <c r="AH249" s="3"/>
    </row>
    <row r="250" customFormat="false" ht="15" hidden="false" customHeight="true" outlineLevel="0" collapsed="false">
      <c r="A250" s="2"/>
      <c r="B250" s="36"/>
      <c r="C250" s="37"/>
      <c r="D250" s="37"/>
      <c r="E250" s="38"/>
      <c r="F250" s="39"/>
      <c r="G250" s="40" t="str">
        <f aca="false">IF(OR($E250="",$C250="",$D250=""),"",$E250*$D250*IFERROR(INDEX(Listas!$C$6:$C$20,MATCH($C250,Listas!$B$6:$B$20,0)),0)-$D250*IFERROR(INDEX(Listas!$D$6:$D$20,MATCH($C250,Listas!$B$6:$B$20,0)),0))</f>
        <v/>
      </c>
      <c r="H250" s="41" t="str">
        <f aca="false">IF(OR($F250="",$C250="",$D250=""),"",ABS($F250)*$D250*IFERROR(INDEX(Listas!$C$6:$C$20,MATCH($C250,Listas!$B$6:$B$20,0)),0))</f>
        <v/>
      </c>
      <c r="I250" s="42" t="str">
        <f aca="false">IF(OR($E250="",$F250="",$F250=0),"",$E250/ABS($F250))</f>
        <v/>
      </c>
      <c r="J250" s="43" t="str">
        <f aca="false">IF($B250="","",INDEX(Listas!$G$6:$G$12,WEEKDAY($B250,1)))</f>
        <v/>
      </c>
      <c r="K250" s="43" t="str">
        <f aca="false">IFERROR(IF($L250="","",TEXT(IF($L250&lt;1,HOUR($L250),INT($L250)),"00")&amp;":00"),"")</f>
        <v/>
      </c>
      <c r="L250" s="44"/>
      <c r="M250" s="45"/>
      <c r="N250" s="46"/>
      <c r="O250" s="45"/>
      <c r="P250" s="2"/>
      <c r="Q250" s="2"/>
      <c r="R250" s="2"/>
      <c r="S250" s="2"/>
      <c r="T250" s="2"/>
      <c r="U250" s="47" t="str">
        <f aca="false">IF($G250="","",IF($G250&lt;0,IF(N($U249)=0,1,$U249+1),0))</f>
        <v/>
      </c>
      <c r="V250" s="47" t="str">
        <f aca="false">IF($G250="","",IF($V249="",'Empieza aquí'!$D$8,$V249)+$G250)</f>
        <v/>
      </c>
      <c r="W250" s="47" t="str">
        <f aca="false">IF($V250="","",MAX(IF($W249="",'Empieza aquí'!$D$8,$W249),$V250))</f>
        <v/>
      </c>
      <c r="X250" s="47" t="str">
        <f aca="false">IF($V250="","",$V250-$W250)</f>
        <v/>
      </c>
      <c r="Y250" s="3"/>
      <c r="Z250" s="3"/>
      <c r="AA250" s="3"/>
      <c r="AB250" s="3"/>
      <c r="AC250" s="3"/>
      <c r="AD250" s="3"/>
      <c r="AE250" s="3"/>
      <c r="AF250" s="3"/>
      <c r="AG250" s="3"/>
      <c r="AH250" s="3"/>
    </row>
    <row r="251" customFormat="false" ht="15" hidden="false" customHeight="true" outlineLevel="0" collapsed="false">
      <c r="A251" s="2"/>
      <c r="B251" s="36"/>
      <c r="C251" s="37"/>
      <c r="D251" s="37"/>
      <c r="E251" s="38"/>
      <c r="F251" s="39"/>
      <c r="G251" s="40" t="str">
        <f aca="false">IF(OR($E251="",$C251="",$D251=""),"",$E251*$D251*IFERROR(INDEX(Listas!$C$6:$C$20,MATCH($C251,Listas!$B$6:$B$20,0)),0)-$D251*IFERROR(INDEX(Listas!$D$6:$D$20,MATCH($C251,Listas!$B$6:$B$20,0)),0))</f>
        <v/>
      </c>
      <c r="H251" s="41" t="str">
        <f aca="false">IF(OR($F251="",$C251="",$D251=""),"",ABS($F251)*$D251*IFERROR(INDEX(Listas!$C$6:$C$20,MATCH($C251,Listas!$B$6:$B$20,0)),0))</f>
        <v/>
      </c>
      <c r="I251" s="42" t="str">
        <f aca="false">IF(OR($E251="",$F251="",$F251=0),"",$E251/ABS($F251))</f>
        <v/>
      </c>
      <c r="J251" s="43" t="str">
        <f aca="false">IF($B251="","",INDEX(Listas!$G$6:$G$12,WEEKDAY($B251,1)))</f>
        <v/>
      </c>
      <c r="K251" s="43" t="str">
        <f aca="false">IFERROR(IF($L251="","",TEXT(IF($L251&lt;1,HOUR($L251),INT($L251)),"00")&amp;":00"),"")</f>
        <v/>
      </c>
      <c r="L251" s="44"/>
      <c r="M251" s="45"/>
      <c r="N251" s="46"/>
      <c r="O251" s="45"/>
      <c r="P251" s="2"/>
      <c r="Q251" s="2"/>
      <c r="R251" s="2"/>
      <c r="S251" s="2"/>
      <c r="T251" s="2"/>
      <c r="U251" s="47" t="str">
        <f aca="false">IF($G251="","",IF($G251&lt;0,IF(N($U250)=0,1,$U250+1),0))</f>
        <v/>
      </c>
      <c r="V251" s="47" t="str">
        <f aca="false">IF($G251="","",IF($V250="",'Empieza aquí'!$D$8,$V250)+$G251)</f>
        <v/>
      </c>
      <c r="W251" s="47" t="str">
        <f aca="false">IF($V251="","",MAX(IF($W250="",'Empieza aquí'!$D$8,$W250),$V251))</f>
        <v/>
      </c>
      <c r="X251" s="47" t="str">
        <f aca="false">IF($V251="","",$V251-$W251)</f>
        <v/>
      </c>
      <c r="Y251" s="3"/>
      <c r="Z251" s="3"/>
      <c r="AA251" s="3"/>
      <c r="AB251" s="3"/>
      <c r="AC251" s="3"/>
      <c r="AD251" s="3"/>
      <c r="AE251" s="3"/>
      <c r="AF251" s="3"/>
      <c r="AG251" s="3"/>
      <c r="AH251" s="3"/>
    </row>
    <row r="252" customFormat="false" ht="15" hidden="false" customHeight="true" outlineLevel="0" collapsed="false">
      <c r="A252" s="2"/>
      <c r="B252" s="36"/>
      <c r="C252" s="37"/>
      <c r="D252" s="37"/>
      <c r="E252" s="38"/>
      <c r="F252" s="39"/>
      <c r="G252" s="40" t="str">
        <f aca="false">IF(OR($E252="",$C252="",$D252=""),"",$E252*$D252*IFERROR(INDEX(Listas!$C$6:$C$20,MATCH($C252,Listas!$B$6:$B$20,0)),0)-$D252*IFERROR(INDEX(Listas!$D$6:$D$20,MATCH($C252,Listas!$B$6:$B$20,0)),0))</f>
        <v/>
      </c>
      <c r="H252" s="41" t="str">
        <f aca="false">IF(OR($F252="",$C252="",$D252=""),"",ABS($F252)*$D252*IFERROR(INDEX(Listas!$C$6:$C$20,MATCH($C252,Listas!$B$6:$B$20,0)),0))</f>
        <v/>
      </c>
      <c r="I252" s="42" t="str">
        <f aca="false">IF(OR($E252="",$F252="",$F252=0),"",$E252/ABS($F252))</f>
        <v/>
      </c>
      <c r="J252" s="43" t="str">
        <f aca="false">IF($B252="","",INDEX(Listas!$G$6:$G$12,WEEKDAY($B252,1)))</f>
        <v/>
      </c>
      <c r="K252" s="43" t="str">
        <f aca="false">IFERROR(IF($L252="","",TEXT(IF($L252&lt;1,HOUR($L252),INT($L252)),"00")&amp;":00"),"")</f>
        <v/>
      </c>
      <c r="L252" s="44"/>
      <c r="M252" s="45"/>
      <c r="N252" s="46"/>
      <c r="O252" s="45"/>
      <c r="P252" s="2"/>
      <c r="Q252" s="2"/>
      <c r="R252" s="2"/>
      <c r="S252" s="2"/>
      <c r="T252" s="2"/>
      <c r="U252" s="47" t="str">
        <f aca="false">IF($G252="","",IF($G252&lt;0,IF(N($U251)=0,1,$U251+1),0))</f>
        <v/>
      </c>
      <c r="V252" s="47" t="str">
        <f aca="false">IF($G252="","",IF($V251="",'Empieza aquí'!$D$8,$V251)+$G252)</f>
        <v/>
      </c>
      <c r="W252" s="47" t="str">
        <f aca="false">IF($V252="","",MAX(IF($W251="",'Empieza aquí'!$D$8,$W251),$V252))</f>
        <v/>
      </c>
      <c r="X252" s="47" t="str">
        <f aca="false">IF($V252="","",$V252-$W252)</f>
        <v/>
      </c>
      <c r="Y252" s="3"/>
      <c r="Z252" s="3"/>
      <c r="AA252" s="3"/>
      <c r="AB252" s="3"/>
      <c r="AC252" s="3"/>
      <c r="AD252" s="3"/>
      <c r="AE252" s="3"/>
      <c r="AF252" s="3"/>
      <c r="AG252" s="3"/>
      <c r="AH252" s="3"/>
    </row>
    <row r="253" customFormat="false" ht="15" hidden="false" customHeight="true" outlineLevel="0" collapsed="false">
      <c r="A253" s="2"/>
      <c r="B253" s="36"/>
      <c r="C253" s="37"/>
      <c r="D253" s="37"/>
      <c r="E253" s="38"/>
      <c r="F253" s="39"/>
      <c r="G253" s="40" t="str">
        <f aca="false">IF(OR($E253="",$C253="",$D253=""),"",$E253*$D253*IFERROR(INDEX(Listas!$C$6:$C$20,MATCH($C253,Listas!$B$6:$B$20,0)),0)-$D253*IFERROR(INDEX(Listas!$D$6:$D$20,MATCH($C253,Listas!$B$6:$B$20,0)),0))</f>
        <v/>
      </c>
      <c r="H253" s="41" t="str">
        <f aca="false">IF(OR($F253="",$C253="",$D253=""),"",ABS($F253)*$D253*IFERROR(INDEX(Listas!$C$6:$C$20,MATCH($C253,Listas!$B$6:$B$20,0)),0))</f>
        <v/>
      </c>
      <c r="I253" s="42" t="str">
        <f aca="false">IF(OR($E253="",$F253="",$F253=0),"",$E253/ABS($F253))</f>
        <v/>
      </c>
      <c r="J253" s="43" t="str">
        <f aca="false">IF($B253="","",INDEX(Listas!$G$6:$G$12,WEEKDAY($B253,1)))</f>
        <v/>
      </c>
      <c r="K253" s="43" t="str">
        <f aca="false">IFERROR(IF($L253="","",TEXT(IF($L253&lt;1,HOUR($L253),INT($L253)),"00")&amp;":00"),"")</f>
        <v/>
      </c>
      <c r="L253" s="44"/>
      <c r="M253" s="45"/>
      <c r="N253" s="46"/>
      <c r="O253" s="45"/>
      <c r="P253" s="2"/>
      <c r="Q253" s="2"/>
      <c r="R253" s="2"/>
      <c r="S253" s="2"/>
      <c r="T253" s="2"/>
      <c r="U253" s="47" t="str">
        <f aca="false">IF($G253="","",IF($G253&lt;0,IF(N($U252)=0,1,$U252+1),0))</f>
        <v/>
      </c>
      <c r="V253" s="47" t="str">
        <f aca="false">IF($G253="","",IF($V252="",'Empieza aquí'!$D$8,$V252)+$G253)</f>
        <v/>
      </c>
      <c r="W253" s="47" t="str">
        <f aca="false">IF($V253="","",MAX(IF($W252="",'Empieza aquí'!$D$8,$W252),$V253))</f>
        <v/>
      </c>
      <c r="X253" s="47" t="str">
        <f aca="false">IF($V253="","",$V253-$W253)</f>
        <v/>
      </c>
      <c r="Y253" s="3"/>
      <c r="Z253" s="3"/>
      <c r="AA253" s="3"/>
      <c r="AB253" s="3"/>
      <c r="AC253" s="3"/>
      <c r="AD253" s="3"/>
      <c r="AE253" s="3"/>
      <c r="AF253" s="3"/>
      <c r="AG253" s="3"/>
      <c r="AH253" s="3"/>
    </row>
    <row r="254" customFormat="false" ht="15" hidden="false" customHeight="true" outlineLevel="0" collapsed="false">
      <c r="A254" s="2"/>
      <c r="B254" s="36"/>
      <c r="C254" s="37"/>
      <c r="D254" s="37"/>
      <c r="E254" s="38"/>
      <c r="F254" s="39"/>
      <c r="G254" s="40" t="str">
        <f aca="false">IF(OR($E254="",$C254="",$D254=""),"",$E254*$D254*IFERROR(INDEX(Listas!$C$6:$C$20,MATCH($C254,Listas!$B$6:$B$20,0)),0)-$D254*IFERROR(INDEX(Listas!$D$6:$D$20,MATCH($C254,Listas!$B$6:$B$20,0)),0))</f>
        <v/>
      </c>
      <c r="H254" s="41" t="str">
        <f aca="false">IF(OR($F254="",$C254="",$D254=""),"",ABS($F254)*$D254*IFERROR(INDEX(Listas!$C$6:$C$20,MATCH($C254,Listas!$B$6:$B$20,0)),0))</f>
        <v/>
      </c>
      <c r="I254" s="42" t="str">
        <f aca="false">IF(OR($E254="",$F254="",$F254=0),"",$E254/ABS($F254))</f>
        <v/>
      </c>
      <c r="J254" s="43" t="str">
        <f aca="false">IF($B254="","",INDEX(Listas!$G$6:$G$12,WEEKDAY($B254,1)))</f>
        <v/>
      </c>
      <c r="K254" s="43" t="str">
        <f aca="false">IFERROR(IF($L254="","",TEXT(IF($L254&lt;1,HOUR($L254),INT($L254)),"00")&amp;":00"),"")</f>
        <v/>
      </c>
      <c r="L254" s="44"/>
      <c r="M254" s="45"/>
      <c r="N254" s="46"/>
      <c r="O254" s="45"/>
      <c r="P254" s="2"/>
      <c r="Q254" s="2"/>
      <c r="R254" s="2"/>
      <c r="S254" s="2"/>
      <c r="T254" s="2"/>
      <c r="U254" s="47" t="str">
        <f aca="false">IF($G254="","",IF($G254&lt;0,IF(N($U253)=0,1,$U253+1),0))</f>
        <v/>
      </c>
      <c r="V254" s="47" t="str">
        <f aca="false">IF($G254="","",IF($V253="",'Empieza aquí'!$D$8,$V253)+$G254)</f>
        <v/>
      </c>
      <c r="W254" s="47" t="str">
        <f aca="false">IF($V254="","",MAX(IF($W253="",'Empieza aquí'!$D$8,$W253),$V254))</f>
        <v/>
      </c>
      <c r="X254" s="47" t="str">
        <f aca="false">IF($V254="","",$V254-$W254)</f>
        <v/>
      </c>
      <c r="Y254" s="3"/>
      <c r="Z254" s="3"/>
      <c r="AA254" s="3"/>
      <c r="AB254" s="3"/>
      <c r="AC254" s="3"/>
      <c r="AD254" s="3"/>
      <c r="AE254" s="3"/>
      <c r="AF254" s="3"/>
      <c r="AG254" s="3"/>
      <c r="AH254" s="3"/>
    </row>
    <row r="255" customFormat="false" ht="15" hidden="false" customHeight="true" outlineLevel="0" collapsed="false">
      <c r="A255" s="2"/>
      <c r="B255" s="36"/>
      <c r="C255" s="37"/>
      <c r="D255" s="37"/>
      <c r="E255" s="38"/>
      <c r="F255" s="39"/>
      <c r="G255" s="40" t="str">
        <f aca="false">IF(OR($E255="",$C255="",$D255=""),"",$E255*$D255*IFERROR(INDEX(Listas!$C$6:$C$20,MATCH($C255,Listas!$B$6:$B$20,0)),0)-$D255*IFERROR(INDEX(Listas!$D$6:$D$20,MATCH($C255,Listas!$B$6:$B$20,0)),0))</f>
        <v/>
      </c>
      <c r="H255" s="41" t="str">
        <f aca="false">IF(OR($F255="",$C255="",$D255=""),"",ABS($F255)*$D255*IFERROR(INDEX(Listas!$C$6:$C$20,MATCH($C255,Listas!$B$6:$B$20,0)),0))</f>
        <v/>
      </c>
      <c r="I255" s="42" t="str">
        <f aca="false">IF(OR($E255="",$F255="",$F255=0),"",$E255/ABS($F255))</f>
        <v/>
      </c>
      <c r="J255" s="43" t="str">
        <f aca="false">IF($B255="","",INDEX(Listas!$G$6:$G$12,WEEKDAY($B255,1)))</f>
        <v/>
      </c>
      <c r="K255" s="43" t="str">
        <f aca="false">IFERROR(IF($L255="","",TEXT(IF($L255&lt;1,HOUR($L255),INT($L255)),"00")&amp;":00"),"")</f>
        <v/>
      </c>
      <c r="L255" s="44"/>
      <c r="M255" s="45"/>
      <c r="N255" s="46"/>
      <c r="O255" s="45"/>
      <c r="P255" s="2"/>
      <c r="Q255" s="2"/>
      <c r="R255" s="2"/>
      <c r="S255" s="2"/>
      <c r="T255" s="2"/>
      <c r="U255" s="47" t="str">
        <f aca="false">IF($G255="","",IF($G255&lt;0,IF(N($U254)=0,1,$U254+1),0))</f>
        <v/>
      </c>
      <c r="V255" s="47" t="str">
        <f aca="false">IF($G255="","",IF($V254="",'Empieza aquí'!$D$8,$V254)+$G255)</f>
        <v/>
      </c>
      <c r="W255" s="47" t="str">
        <f aca="false">IF($V255="","",MAX(IF($W254="",'Empieza aquí'!$D$8,$W254),$V255))</f>
        <v/>
      </c>
      <c r="X255" s="47" t="str">
        <f aca="false">IF($V255="","",$V255-$W255)</f>
        <v/>
      </c>
      <c r="Y255" s="3"/>
      <c r="Z255" s="3"/>
      <c r="AA255" s="3"/>
      <c r="AB255" s="3"/>
      <c r="AC255" s="3"/>
      <c r="AD255" s="3"/>
      <c r="AE255" s="3"/>
      <c r="AF255" s="3"/>
      <c r="AG255" s="3"/>
      <c r="AH255" s="3"/>
    </row>
    <row r="256" customFormat="false" ht="15" hidden="false" customHeight="true" outlineLevel="0" collapsed="false">
      <c r="A256" s="2"/>
      <c r="B256" s="36"/>
      <c r="C256" s="37"/>
      <c r="D256" s="37"/>
      <c r="E256" s="38"/>
      <c r="F256" s="39"/>
      <c r="G256" s="40" t="str">
        <f aca="false">IF(OR($E256="",$C256="",$D256=""),"",$E256*$D256*IFERROR(INDEX(Listas!$C$6:$C$20,MATCH($C256,Listas!$B$6:$B$20,0)),0)-$D256*IFERROR(INDEX(Listas!$D$6:$D$20,MATCH($C256,Listas!$B$6:$B$20,0)),0))</f>
        <v/>
      </c>
      <c r="H256" s="41" t="str">
        <f aca="false">IF(OR($F256="",$C256="",$D256=""),"",ABS($F256)*$D256*IFERROR(INDEX(Listas!$C$6:$C$20,MATCH($C256,Listas!$B$6:$B$20,0)),0))</f>
        <v/>
      </c>
      <c r="I256" s="42" t="str">
        <f aca="false">IF(OR($E256="",$F256="",$F256=0),"",$E256/ABS($F256))</f>
        <v/>
      </c>
      <c r="J256" s="43" t="str">
        <f aca="false">IF($B256="","",INDEX(Listas!$G$6:$G$12,WEEKDAY($B256,1)))</f>
        <v/>
      </c>
      <c r="K256" s="43" t="str">
        <f aca="false">IFERROR(IF($L256="","",TEXT(IF($L256&lt;1,HOUR($L256),INT($L256)),"00")&amp;":00"),"")</f>
        <v/>
      </c>
      <c r="L256" s="44"/>
      <c r="M256" s="45"/>
      <c r="N256" s="46"/>
      <c r="O256" s="45"/>
      <c r="P256" s="2"/>
      <c r="Q256" s="2"/>
      <c r="R256" s="2"/>
      <c r="S256" s="2"/>
      <c r="T256" s="2"/>
      <c r="U256" s="47" t="str">
        <f aca="false">IF($G256="","",IF($G256&lt;0,IF(N($U255)=0,1,$U255+1),0))</f>
        <v/>
      </c>
      <c r="V256" s="47" t="str">
        <f aca="false">IF($G256="","",IF($V255="",'Empieza aquí'!$D$8,$V255)+$G256)</f>
        <v/>
      </c>
      <c r="W256" s="47" t="str">
        <f aca="false">IF($V256="","",MAX(IF($W255="",'Empieza aquí'!$D$8,$W255),$V256))</f>
        <v/>
      </c>
      <c r="X256" s="47" t="str">
        <f aca="false">IF($V256="","",$V256-$W256)</f>
        <v/>
      </c>
      <c r="Y256" s="3"/>
      <c r="Z256" s="3"/>
      <c r="AA256" s="3"/>
      <c r="AB256" s="3"/>
      <c r="AC256" s="3"/>
      <c r="AD256" s="3"/>
      <c r="AE256" s="3"/>
      <c r="AF256" s="3"/>
      <c r="AG256" s="3"/>
      <c r="AH256" s="3"/>
    </row>
    <row r="257" customFormat="false" ht="15" hidden="false" customHeight="true" outlineLevel="0" collapsed="false">
      <c r="A257" s="2"/>
      <c r="B257" s="36"/>
      <c r="C257" s="37"/>
      <c r="D257" s="37"/>
      <c r="E257" s="38"/>
      <c r="F257" s="39"/>
      <c r="G257" s="40" t="str">
        <f aca="false">IF(OR($E257="",$C257="",$D257=""),"",$E257*$D257*IFERROR(INDEX(Listas!$C$6:$C$20,MATCH($C257,Listas!$B$6:$B$20,0)),0)-$D257*IFERROR(INDEX(Listas!$D$6:$D$20,MATCH($C257,Listas!$B$6:$B$20,0)),0))</f>
        <v/>
      </c>
      <c r="H257" s="41" t="str">
        <f aca="false">IF(OR($F257="",$C257="",$D257=""),"",ABS($F257)*$D257*IFERROR(INDEX(Listas!$C$6:$C$20,MATCH($C257,Listas!$B$6:$B$20,0)),0))</f>
        <v/>
      </c>
      <c r="I257" s="42" t="str">
        <f aca="false">IF(OR($E257="",$F257="",$F257=0),"",$E257/ABS($F257))</f>
        <v/>
      </c>
      <c r="J257" s="43" t="str">
        <f aca="false">IF($B257="","",INDEX(Listas!$G$6:$G$12,WEEKDAY($B257,1)))</f>
        <v/>
      </c>
      <c r="K257" s="43" t="str">
        <f aca="false">IFERROR(IF($L257="","",TEXT(IF($L257&lt;1,HOUR($L257),INT($L257)),"00")&amp;":00"),"")</f>
        <v/>
      </c>
      <c r="L257" s="44"/>
      <c r="M257" s="45"/>
      <c r="N257" s="46"/>
      <c r="O257" s="45"/>
      <c r="P257" s="2"/>
      <c r="Q257" s="2"/>
      <c r="R257" s="2"/>
      <c r="S257" s="2"/>
      <c r="T257" s="2"/>
      <c r="U257" s="47" t="str">
        <f aca="false">IF($G257="","",IF($G257&lt;0,IF(N($U256)=0,1,$U256+1),0))</f>
        <v/>
      </c>
      <c r="V257" s="47" t="str">
        <f aca="false">IF($G257="","",IF($V256="",'Empieza aquí'!$D$8,$V256)+$G257)</f>
        <v/>
      </c>
      <c r="W257" s="47" t="str">
        <f aca="false">IF($V257="","",MAX(IF($W256="",'Empieza aquí'!$D$8,$W256),$V257))</f>
        <v/>
      </c>
      <c r="X257" s="47" t="str">
        <f aca="false">IF($V257="","",$V257-$W257)</f>
        <v/>
      </c>
      <c r="Y257" s="3"/>
      <c r="Z257" s="3"/>
      <c r="AA257" s="3"/>
      <c r="AB257" s="3"/>
      <c r="AC257" s="3"/>
      <c r="AD257" s="3"/>
      <c r="AE257" s="3"/>
      <c r="AF257" s="3"/>
      <c r="AG257" s="3"/>
      <c r="AH257" s="3"/>
    </row>
    <row r="258" customFormat="false" ht="15" hidden="false" customHeight="true" outlineLevel="0" collapsed="false">
      <c r="A258" s="2"/>
      <c r="B258" s="36"/>
      <c r="C258" s="37"/>
      <c r="D258" s="37"/>
      <c r="E258" s="38"/>
      <c r="F258" s="39"/>
      <c r="G258" s="40" t="str">
        <f aca="false">IF(OR($E258="",$C258="",$D258=""),"",$E258*$D258*IFERROR(INDEX(Listas!$C$6:$C$20,MATCH($C258,Listas!$B$6:$B$20,0)),0)-$D258*IFERROR(INDEX(Listas!$D$6:$D$20,MATCH($C258,Listas!$B$6:$B$20,0)),0))</f>
        <v/>
      </c>
      <c r="H258" s="41" t="str">
        <f aca="false">IF(OR($F258="",$C258="",$D258=""),"",ABS($F258)*$D258*IFERROR(INDEX(Listas!$C$6:$C$20,MATCH($C258,Listas!$B$6:$B$20,0)),0))</f>
        <v/>
      </c>
      <c r="I258" s="42" t="str">
        <f aca="false">IF(OR($E258="",$F258="",$F258=0),"",$E258/ABS($F258))</f>
        <v/>
      </c>
      <c r="J258" s="43" t="str">
        <f aca="false">IF($B258="","",INDEX(Listas!$G$6:$G$12,WEEKDAY($B258,1)))</f>
        <v/>
      </c>
      <c r="K258" s="43" t="str">
        <f aca="false">IFERROR(IF($L258="","",TEXT(IF($L258&lt;1,HOUR($L258),INT($L258)),"00")&amp;":00"),"")</f>
        <v/>
      </c>
      <c r="L258" s="44"/>
      <c r="M258" s="45"/>
      <c r="N258" s="46"/>
      <c r="O258" s="45"/>
      <c r="P258" s="2"/>
      <c r="Q258" s="2"/>
      <c r="R258" s="2"/>
      <c r="S258" s="2"/>
      <c r="T258" s="2"/>
      <c r="U258" s="47" t="str">
        <f aca="false">IF($G258="","",IF($G258&lt;0,IF(N($U257)=0,1,$U257+1),0))</f>
        <v/>
      </c>
      <c r="V258" s="47" t="str">
        <f aca="false">IF($G258="","",IF($V257="",'Empieza aquí'!$D$8,$V257)+$G258)</f>
        <v/>
      </c>
      <c r="W258" s="47" t="str">
        <f aca="false">IF($V258="","",MAX(IF($W257="",'Empieza aquí'!$D$8,$W257),$V258))</f>
        <v/>
      </c>
      <c r="X258" s="47" t="str">
        <f aca="false">IF($V258="","",$V258-$W258)</f>
        <v/>
      </c>
      <c r="Y258" s="3"/>
      <c r="Z258" s="3"/>
      <c r="AA258" s="3"/>
      <c r="AB258" s="3"/>
      <c r="AC258" s="3"/>
      <c r="AD258" s="3"/>
      <c r="AE258" s="3"/>
      <c r="AF258" s="3"/>
      <c r="AG258" s="3"/>
      <c r="AH258" s="3"/>
    </row>
    <row r="259" customFormat="false" ht="15" hidden="false" customHeight="true" outlineLevel="0" collapsed="false">
      <c r="A259" s="2"/>
      <c r="B259" s="36"/>
      <c r="C259" s="37"/>
      <c r="D259" s="37"/>
      <c r="E259" s="38"/>
      <c r="F259" s="39"/>
      <c r="G259" s="40" t="str">
        <f aca="false">IF(OR($E259="",$C259="",$D259=""),"",$E259*$D259*IFERROR(INDEX(Listas!$C$6:$C$20,MATCH($C259,Listas!$B$6:$B$20,0)),0)-$D259*IFERROR(INDEX(Listas!$D$6:$D$20,MATCH($C259,Listas!$B$6:$B$20,0)),0))</f>
        <v/>
      </c>
      <c r="H259" s="41" t="str">
        <f aca="false">IF(OR($F259="",$C259="",$D259=""),"",ABS($F259)*$D259*IFERROR(INDEX(Listas!$C$6:$C$20,MATCH($C259,Listas!$B$6:$B$20,0)),0))</f>
        <v/>
      </c>
      <c r="I259" s="42" t="str">
        <f aca="false">IF(OR($E259="",$F259="",$F259=0),"",$E259/ABS($F259))</f>
        <v/>
      </c>
      <c r="J259" s="43" t="str">
        <f aca="false">IF($B259="","",INDEX(Listas!$G$6:$G$12,WEEKDAY($B259,1)))</f>
        <v/>
      </c>
      <c r="K259" s="43" t="str">
        <f aca="false">IFERROR(IF($L259="","",TEXT(IF($L259&lt;1,HOUR($L259),INT($L259)),"00")&amp;":00"),"")</f>
        <v/>
      </c>
      <c r="L259" s="44"/>
      <c r="M259" s="45"/>
      <c r="N259" s="46"/>
      <c r="O259" s="45"/>
      <c r="P259" s="2"/>
      <c r="Q259" s="2"/>
      <c r="R259" s="2"/>
      <c r="S259" s="2"/>
      <c r="T259" s="2"/>
      <c r="U259" s="47" t="str">
        <f aca="false">IF($G259="","",IF($G259&lt;0,IF(N($U258)=0,1,$U258+1),0))</f>
        <v/>
      </c>
      <c r="V259" s="47" t="str">
        <f aca="false">IF($G259="","",IF($V258="",'Empieza aquí'!$D$8,$V258)+$G259)</f>
        <v/>
      </c>
      <c r="W259" s="47" t="str">
        <f aca="false">IF($V259="","",MAX(IF($W258="",'Empieza aquí'!$D$8,$W258),$V259))</f>
        <v/>
      </c>
      <c r="X259" s="47" t="str">
        <f aca="false">IF($V259="","",$V259-$W259)</f>
        <v/>
      </c>
      <c r="Y259" s="3"/>
      <c r="Z259" s="3"/>
      <c r="AA259" s="3"/>
      <c r="AB259" s="3"/>
      <c r="AC259" s="3"/>
      <c r="AD259" s="3"/>
      <c r="AE259" s="3"/>
      <c r="AF259" s="3"/>
      <c r="AG259" s="3"/>
      <c r="AH259" s="3"/>
    </row>
    <row r="260" customFormat="false" ht="15" hidden="false" customHeight="true" outlineLevel="0" collapsed="false">
      <c r="A260" s="2"/>
      <c r="B260" s="36"/>
      <c r="C260" s="37"/>
      <c r="D260" s="37"/>
      <c r="E260" s="38"/>
      <c r="F260" s="39"/>
      <c r="G260" s="40" t="str">
        <f aca="false">IF(OR($E260="",$C260="",$D260=""),"",$E260*$D260*IFERROR(INDEX(Listas!$C$6:$C$20,MATCH($C260,Listas!$B$6:$B$20,0)),0)-$D260*IFERROR(INDEX(Listas!$D$6:$D$20,MATCH($C260,Listas!$B$6:$B$20,0)),0))</f>
        <v/>
      </c>
      <c r="H260" s="41" t="str">
        <f aca="false">IF(OR($F260="",$C260="",$D260=""),"",ABS($F260)*$D260*IFERROR(INDEX(Listas!$C$6:$C$20,MATCH($C260,Listas!$B$6:$B$20,0)),0))</f>
        <v/>
      </c>
      <c r="I260" s="42" t="str">
        <f aca="false">IF(OR($E260="",$F260="",$F260=0),"",$E260/ABS($F260))</f>
        <v/>
      </c>
      <c r="J260" s="43" t="str">
        <f aca="false">IF($B260="","",INDEX(Listas!$G$6:$G$12,WEEKDAY($B260,1)))</f>
        <v/>
      </c>
      <c r="K260" s="43" t="str">
        <f aca="false">IFERROR(IF($L260="","",TEXT(IF($L260&lt;1,HOUR($L260),INT($L260)),"00")&amp;":00"),"")</f>
        <v/>
      </c>
      <c r="L260" s="44"/>
      <c r="M260" s="45"/>
      <c r="N260" s="46"/>
      <c r="O260" s="45"/>
      <c r="P260" s="2"/>
      <c r="Q260" s="2"/>
      <c r="R260" s="2"/>
      <c r="S260" s="2"/>
      <c r="T260" s="2"/>
      <c r="U260" s="47" t="str">
        <f aca="false">IF($G260="","",IF($G260&lt;0,IF(N($U259)=0,1,$U259+1),0))</f>
        <v/>
      </c>
      <c r="V260" s="47" t="str">
        <f aca="false">IF($G260="","",IF($V259="",'Empieza aquí'!$D$8,$V259)+$G260)</f>
        <v/>
      </c>
      <c r="W260" s="47" t="str">
        <f aca="false">IF($V260="","",MAX(IF($W259="",'Empieza aquí'!$D$8,$W259),$V260))</f>
        <v/>
      </c>
      <c r="X260" s="47" t="str">
        <f aca="false">IF($V260="","",$V260-$W260)</f>
        <v/>
      </c>
      <c r="Y260" s="3"/>
      <c r="Z260" s="3"/>
      <c r="AA260" s="3"/>
      <c r="AB260" s="3"/>
      <c r="AC260" s="3"/>
      <c r="AD260" s="3"/>
      <c r="AE260" s="3"/>
      <c r="AF260" s="3"/>
      <c r="AG260" s="3"/>
      <c r="AH260" s="3"/>
    </row>
    <row r="261" customFormat="false" ht="15" hidden="false" customHeight="true" outlineLevel="0" collapsed="false">
      <c r="A261" s="2"/>
      <c r="B261" s="36"/>
      <c r="C261" s="37"/>
      <c r="D261" s="37"/>
      <c r="E261" s="38"/>
      <c r="F261" s="39"/>
      <c r="G261" s="40" t="str">
        <f aca="false">IF(OR($E261="",$C261="",$D261=""),"",$E261*$D261*IFERROR(INDEX(Listas!$C$6:$C$20,MATCH($C261,Listas!$B$6:$B$20,0)),0)-$D261*IFERROR(INDEX(Listas!$D$6:$D$20,MATCH($C261,Listas!$B$6:$B$20,0)),0))</f>
        <v/>
      </c>
      <c r="H261" s="41" t="str">
        <f aca="false">IF(OR($F261="",$C261="",$D261=""),"",ABS($F261)*$D261*IFERROR(INDEX(Listas!$C$6:$C$20,MATCH($C261,Listas!$B$6:$B$20,0)),0))</f>
        <v/>
      </c>
      <c r="I261" s="42" t="str">
        <f aca="false">IF(OR($E261="",$F261="",$F261=0),"",$E261/ABS($F261))</f>
        <v/>
      </c>
      <c r="J261" s="43" t="str">
        <f aca="false">IF($B261="","",INDEX(Listas!$G$6:$G$12,WEEKDAY($B261,1)))</f>
        <v/>
      </c>
      <c r="K261" s="43" t="str">
        <f aca="false">IFERROR(IF($L261="","",TEXT(IF($L261&lt;1,HOUR($L261),INT($L261)),"00")&amp;":00"),"")</f>
        <v/>
      </c>
      <c r="L261" s="44"/>
      <c r="M261" s="45"/>
      <c r="N261" s="46"/>
      <c r="O261" s="45"/>
      <c r="P261" s="2"/>
      <c r="Q261" s="2"/>
      <c r="R261" s="2"/>
      <c r="S261" s="2"/>
      <c r="T261" s="2"/>
      <c r="U261" s="47" t="str">
        <f aca="false">IF($G261="","",IF($G261&lt;0,IF(N($U260)=0,1,$U260+1),0))</f>
        <v/>
      </c>
      <c r="V261" s="47" t="str">
        <f aca="false">IF($G261="","",IF($V260="",'Empieza aquí'!$D$8,$V260)+$G261)</f>
        <v/>
      </c>
      <c r="W261" s="47" t="str">
        <f aca="false">IF($V261="","",MAX(IF($W260="",'Empieza aquí'!$D$8,$W260),$V261))</f>
        <v/>
      </c>
      <c r="X261" s="47" t="str">
        <f aca="false">IF($V261="","",$V261-$W261)</f>
        <v/>
      </c>
      <c r="Y261" s="3"/>
      <c r="Z261" s="3"/>
      <c r="AA261" s="3"/>
      <c r="AB261" s="3"/>
      <c r="AC261" s="3"/>
      <c r="AD261" s="3"/>
      <c r="AE261" s="3"/>
      <c r="AF261" s="3"/>
      <c r="AG261" s="3"/>
      <c r="AH261" s="3"/>
    </row>
    <row r="262" customFormat="false" ht="15" hidden="false" customHeight="true" outlineLevel="0" collapsed="false">
      <c r="A262" s="2"/>
      <c r="B262" s="36"/>
      <c r="C262" s="37"/>
      <c r="D262" s="37"/>
      <c r="E262" s="38"/>
      <c r="F262" s="39"/>
      <c r="G262" s="40" t="str">
        <f aca="false">IF(OR($E262="",$C262="",$D262=""),"",$E262*$D262*IFERROR(INDEX(Listas!$C$6:$C$20,MATCH($C262,Listas!$B$6:$B$20,0)),0)-$D262*IFERROR(INDEX(Listas!$D$6:$D$20,MATCH($C262,Listas!$B$6:$B$20,0)),0))</f>
        <v/>
      </c>
      <c r="H262" s="41" t="str">
        <f aca="false">IF(OR($F262="",$C262="",$D262=""),"",ABS($F262)*$D262*IFERROR(INDEX(Listas!$C$6:$C$20,MATCH($C262,Listas!$B$6:$B$20,0)),0))</f>
        <v/>
      </c>
      <c r="I262" s="42" t="str">
        <f aca="false">IF(OR($E262="",$F262="",$F262=0),"",$E262/ABS($F262))</f>
        <v/>
      </c>
      <c r="J262" s="43" t="str">
        <f aca="false">IF($B262="","",INDEX(Listas!$G$6:$G$12,WEEKDAY($B262,1)))</f>
        <v/>
      </c>
      <c r="K262" s="43" t="str">
        <f aca="false">IFERROR(IF($L262="","",TEXT(IF($L262&lt;1,HOUR($L262),INT($L262)),"00")&amp;":00"),"")</f>
        <v/>
      </c>
      <c r="L262" s="44"/>
      <c r="M262" s="45"/>
      <c r="N262" s="46"/>
      <c r="O262" s="45"/>
      <c r="P262" s="2"/>
      <c r="Q262" s="2"/>
      <c r="R262" s="2"/>
      <c r="S262" s="2"/>
      <c r="T262" s="2"/>
      <c r="U262" s="47" t="str">
        <f aca="false">IF($G262="","",IF($G262&lt;0,IF(N($U261)=0,1,$U261+1),0))</f>
        <v/>
      </c>
      <c r="V262" s="47" t="str">
        <f aca="false">IF($G262="","",IF($V261="",'Empieza aquí'!$D$8,$V261)+$G262)</f>
        <v/>
      </c>
      <c r="W262" s="47" t="str">
        <f aca="false">IF($V262="","",MAX(IF($W261="",'Empieza aquí'!$D$8,$W261),$V262))</f>
        <v/>
      </c>
      <c r="X262" s="47" t="str">
        <f aca="false">IF($V262="","",$V262-$W262)</f>
        <v/>
      </c>
      <c r="Y262" s="3"/>
      <c r="Z262" s="3"/>
      <c r="AA262" s="3"/>
      <c r="AB262" s="3"/>
      <c r="AC262" s="3"/>
      <c r="AD262" s="3"/>
      <c r="AE262" s="3"/>
      <c r="AF262" s="3"/>
      <c r="AG262" s="3"/>
      <c r="AH262" s="3"/>
    </row>
    <row r="263" customFormat="false" ht="15" hidden="false" customHeight="true" outlineLevel="0" collapsed="false">
      <c r="A263" s="2"/>
      <c r="B263" s="36"/>
      <c r="C263" s="37"/>
      <c r="D263" s="37"/>
      <c r="E263" s="38"/>
      <c r="F263" s="39"/>
      <c r="G263" s="40" t="str">
        <f aca="false">IF(OR($E263="",$C263="",$D263=""),"",$E263*$D263*IFERROR(INDEX(Listas!$C$6:$C$20,MATCH($C263,Listas!$B$6:$B$20,0)),0)-$D263*IFERROR(INDEX(Listas!$D$6:$D$20,MATCH($C263,Listas!$B$6:$B$20,0)),0))</f>
        <v/>
      </c>
      <c r="H263" s="41" t="str">
        <f aca="false">IF(OR($F263="",$C263="",$D263=""),"",ABS($F263)*$D263*IFERROR(INDEX(Listas!$C$6:$C$20,MATCH($C263,Listas!$B$6:$B$20,0)),0))</f>
        <v/>
      </c>
      <c r="I263" s="42" t="str">
        <f aca="false">IF(OR($E263="",$F263="",$F263=0),"",$E263/ABS($F263))</f>
        <v/>
      </c>
      <c r="J263" s="43" t="str">
        <f aca="false">IF($B263="","",INDEX(Listas!$G$6:$G$12,WEEKDAY($B263,1)))</f>
        <v/>
      </c>
      <c r="K263" s="43" t="str">
        <f aca="false">IFERROR(IF($L263="","",TEXT(IF($L263&lt;1,HOUR($L263),INT($L263)),"00")&amp;":00"),"")</f>
        <v/>
      </c>
      <c r="L263" s="44"/>
      <c r="M263" s="45"/>
      <c r="N263" s="46"/>
      <c r="O263" s="45"/>
      <c r="P263" s="2"/>
      <c r="Q263" s="2"/>
      <c r="R263" s="2"/>
      <c r="S263" s="2"/>
      <c r="T263" s="2"/>
      <c r="U263" s="47" t="str">
        <f aca="false">IF($G263="","",IF($G263&lt;0,IF(N($U262)=0,1,$U262+1),0))</f>
        <v/>
      </c>
      <c r="V263" s="47" t="str">
        <f aca="false">IF($G263="","",IF($V262="",'Empieza aquí'!$D$8,$V262)+$G263)</f>
        <v/>
      </c>
      <c r="W263" s="47" t="str">
        <f aca="false">IF($V263="","",MAX(IF($W262="",'Empieza aquí'!$D$8,$W262),$V263))</f>
        <v/>
      </c>
      <c r="X263" s="47" t="str">
        <f aca="false">IF($V263="","",$V263-$W263)</f>
        <v/>
      </c>
      <c r="Y263" s="3"/>
      <c r="Z263" s="3"/>
      <c r="AA263" s="3"/>
      <c r="AB263" s="3"/>
      <c r="AC263" s="3"/>
      <c r="AD263" s="3"/>
      <c r="AE263" s="3"/>
      <c r="AF263" s="3"/>
      <c r="AG263" s="3"/>
      <c r="AH263" s="3"/>
    </row>
    <row r="264" customFormat="false" ht="15" hidden="false" customHeight="true" outlineLevel="0" collapsed="false">
      <c r="A264" s="2"/>
      <c r="B264" s="36"/>
      <c r="C264" s="37"/>
      <c r="D264" s="37"/>
      <c r="E264" s="38"/>
      <c r="F264" s="39"/>
      <c r="G264" s="40" t="str">
        <f aca="false">IF(OR($E264="",$C264="",$D264=""),"",$E264*$D264*IFERROR(INDEX(Listas!$C$6:$C$20,MATCH($C264,Listas!$B$6:$B$20,0)),0)-$D264*IFERROR(INDEX(Listas!$D$6:$D$20,MATCH($C264,Listas!$B$6:$B$20,0)),0))</f>
        <v/>
      </c>
      <c r="H264" s="41" t="str">
        <f aca="false">IF(OR($F264="",$C264="",$D264=""),"",ABS($F264)*$D264*IFERROR(INDEX(Listas!$C$6:$C$20,MATCH($C264,Listas!$B$6:$B$20,0)),0))</f>
        <v/>
      </c>
      <c r="I264" s="42" t="str">
        <f aca="false">IF(OR($E264="",$F264="",$F264=0),"",$E264/ABS($F264))</f>
        <v/>
      </c>
      <c r="J264" s="43" t="str">
        <f aca="false">IF($B264="","",INDEX(Listas!$G$6:$G$12,WEEKDAY($B264,1)))</f>
        <v/>
      </c>
      <c r="K264" s="43" t="str">
        <f aca="false">IFERROR(IF($L264="","",TEXT(IF($L264&lt;1,HOUR($L264),INT($L264)),"00")&amp;":00"),"")</f>
        <v/>
      </c>
      <c r="L264" s="44"/>
      <c r="M264" s="45"/>
      <c r="N264" s="46"/>
      <c r="O264" s="45"/>
      <c r="P264" s="2"/>
      <c r="Q264" s="2"/>
      <c r="R264" s="2"/>
      <c r="S264" s="2"/>
      <c r="T264" s="2"/>
      <c r="U264" s="47" t="str">
        <f aca="false">IF($G264="","",IF($G264&lt;0,IF(N($U263)=0,1,$U263+1),0))</f>
        <v/>
      </c>
      <c r="V264" s="47" t="str">
        <f aca="false">IF($G264="","",IF($V263="",'Empieza aquí'!$D$8,$V263)+$G264)</f>
        <v/>
      </c>
      <c r="W264" s="47" t="str">
        <f aca="false">IF($V264="","",MAX(IF($W263="",'Empieza aquí'!$D$8,$W263),$V264))</f>
        <v/>
      </c>
      <c r="X264" s="47" t="str">
        <f aca="false">IF($V264="","",$V264-$W264)</f>
        <v/>
      </c>
      <c r="Y264" s="3"/>
      <c r="Z264" s="3"/>
      <c r="AA264" s="3"/>
      <c r="AB264" s="3"/>
      <c r="AC264" s="3"/>
      <c r="AD264" s="3"/>
      <c r="AE264" s="3"/>
      <c r="AF264" s="3"/>
      <c r="AG264" s="3"/>
      <c r="AH264" s="3"/>
    </row>
    <row r="265" customFormat="false" ht="15" hidden="false" customHeight="true" outlineLevel="0" collapsed="false">
      <c r="A265" s="2"/>
      <c r="B265" s="36"/>
      <c r="C265" s="37"/>
      <c r="D265" s="37"/>
      <c r="E265" s="38"/>
      <c r="F265" s="39"/>
      <c r="G265" s="40" t="str">
        <f aca="false">IF(OR($E265="",$C265="",$D265=""),"",$E265*$D265*IFERROR(INDEX(Listas!$C$6:$C$20,MATCH($C265,Listas!$B$6:$B$20,0)),0)-$D265*IFERROR(INDEX(Listas!$D$6:$D$20,MATCH($C265,Listas!$B$6:$B$20,0)),0))</f>
        <v/>
      </c>
      <c r="H265" s="41" t="str">
        <f aca="false">IF(OR($F265="",$C265="",$D265=""),"",ABS($F265)*$D265*IFERROR(INDEX(Listas!$C$6:$C$20,MATCH($C265,Listas!$B$6:$B$20,0)),0))</f>
        <v/>
      </c>
      <c r="I265" s="42" t="str">
        <f aca="false">IF(OR($E265="",$F265="",$F265=0),"",$E265/ABS($F265))</f>
        <v/>
      </c>
      <c r="J265" s="43" t="str">
        <f aca="false">IF($B265="","",INDEX(Listas!$G$6:$G$12,WEEKDAY($B265,1)))</f>
        <v/>
      </c>
      <c r="K265" s="43" t="str">
        <f aca="false">IFERROR(IF($L265="","",TEXT(IF($L265&lt;1,HOUR($L265),INT($L265)),"00")&amp;":00"),"")</f>
        <v/>
      </c>
      <c r="L265" s="44"/>
      <c r="M265" s="45"/>
      <c r="N265" s="46"/>
      <c r="O265" s="45"/>
      <c r="P265" s="2"/>
      <c r="Q265" s="2"/>
      <c r="R265" s="2"/>
      <c r="S265" s="2"/>
      <c r="T265" s="2"/>
      <c r="U265" s="47" t="str">
        <f aca="false">IF($G265="","",IF($G265&lt;0,IF(N($U264)=0,1,$U264+1),0))</f>
        <v/>
      </c>
      <c r="V265" s="47" t="str">
        <f aca="false">IF($G265="","",IF($V264="",'Empieza aquí'!$D$8,$V264)+$G265)</f>
        <v/>
      </c>
      <c r="W265" s="47" t="str">
        <f aca="false">IF($V265="","",MAX(IF($W264="",'Empieza aquí'!$D$8,$W264),$V265))</f>
        <v/>
      </c>
      <c r="X265" s="47" t="str">
        <f aca="false">IF($V265="","",$V265-$W265)</f>
        <v/>
      </c>
      <c r="Y265" s="3"/>
      <c r="Z265" s="3"/>
      <c r="AA265" s="3"/>
      <c r="AB265" s="3"/>
      <c r="AC265" s="3"/>
      <c r="AD265" s="3"/>
      <c r="AE265" s="3"/>
      <c r="AF265" s="3"/>
      <c r="AG265" s="3"/>
      <c r="AH265" s="3"/>
    </row>
    <row r="266" customFormat="false" ht="15" hidden="false" customHeight="true" outlineLevel="0" collapsed="false">
      <c r="A266" s="2"/>
      <c r="B266" s="36"/>
      <c r="C266" s="37"/>
      <c r="D266" s="37"/>
      <c r="E266" s="38"/>
      <c r="F266" s="39"/>
      <c r="G266" s="40" t="str">
        <f aca="false">IF(OR($E266="",$C266="",$D266=""),"",$E266*$D266*IFERROR(INDEX(Listas!$C$6:$C$20,MATCH($C266,Listas!$B$6:$B$20,0)),0)-$D266*IFERROR(INDEX(Listas!$D$6:$D$20,MATCH($C266,Listas!$B$6:$B$20,0)),0))</f>
        <v/>
      </c>
      <c r="H266" s="41" t="str">
        <f aca="false">IF(OR($F266="",$C266="",$D266=""),"",ABS($F266)*$D266*IFERROR(INDEX(Listas!$C$6:$C$20,MATCH($C266,Listas!$B$6:$B$20,0)),0))</f>
        <v/>
      </c>
      <c r="I266" s="42" t="str">
        <f aca="false">IF(OR($E266="",$F266="",$F266=0),"",$E266/ABS($F266))</f>
        <v/>
      </c>
      <c r="J266" s="43" t="str">
        <f aca="false">IF($B266="","",INDEX(Listas!$G$6:$G$12,WEEKDAY($B266,1)))</f>
        <v/>
      </c>
      <c r="K266" s="43" t="str">
        <f aca="false">IFERROR(IF($L266="","",TEXT(IF($L266&lt;1,HOUR($L266),INT($L266)),"00")&amp;":00"),"")</f>
        <v/>
      </c>
      <c r="L266" s="44"/>
      <c r="M266" s="45"/>
      <c r="N266" s="46"/>
      <c r="O266" s="45"/>
      <c r="P266" s="2"/>
      <c r="Q266" s="2"/>
      <c r="R266" s="2"/>
      <c r="S266" s="2"/>
      <c r="T266" s="2"/>
      <c r="U266" s="47" t="str">
        <f aca="false">IF($G266="","",IF($G266&lt;0,IF(N($U265)=0,1,$U265+1),0))</f>
        <v/>
      </c>
      <c r="V266" s="47" t="str">
        <f aca="false">IF($G266="","",IF($V265="",'Empieza aquí'!$D$8,$V265)+$G266)</f>
        <v/>
      </c>
      <c r="W266" s="47" t="str">
        <f aca="false">IF($V266="","",MAX(IF($W265="",'Empieza aquí'!$D$8,$W265),$V266))</f>
        <v/>
      </c>
      <c r="X266" s="47" t="str">
        <f aca="false">IF($V266="","",$V266-$W266)</f>
        <v/>
      </c>
      <c r="Y266" s="3"/>
      <c r="Z266" s="3"/>
      <c r="AA266" s="3"/>
      <c r="AB266" s="3"/>
      <c r="AC266" s="3"/>
      <c r="AD266" s="3"/>
      <c r="AE266" s="3"/>
      <c r="AF266" s="3"/>
      <c r="AG266" s="3"/>
      <c r="AH266" s="3"/>
    </row>
    <row r="267" customFormat="false" ht="15" hidden="false" customHeight="true" outlineLevel="0" collapsed="false">
      <c r="A267" s="2"/>
      <c r="B267" s="36"/>
      <c r="C267" s="37"/>
      <c r="D267" s="37"/>
      <c r="E267" s="38"/>
      <c r="F267" s="39"/>
      <c r="G267" s="40" t="str">
        <f aca="false">IF(OR($E267="",$C267="",$D267=""),"",$E267*$D267*IFERROR(INDEX(Listas!$C$6:$C$20,MATCH($C267,Listas!$B$6:$B$20,0)),0)-$D267*IFERROR(INDEX(Listas!$D$6:$D$20,MATCH($C267,Listas!$B$6:$B$20,0)),0))</f>
        <v/>
      </c>
      <c r="H267" s="41" t="str">
        <f aca="false">IF(OR($F267="",$C267="",$D267=""),"",ABS($F267)*$D267*IFERROR(INDEX(Listas!$C$6:$C$20,MATCH($C267,Listas!$B$6:$B$20,0)),0))</f>
        <v/>
      </c>
      <c r="I267" s="42" t="str">
        <f aca="false">IF(OR($E267="",$F267="",$F267=0),"",$E267/ABS($F267))</f>
        <v/>
      </c>
      <c r="J267" s="43" t="str">
        <f aca="false">IF($B267="","",INDEX(Listas!$G$6:$G$12,WEEKDAY($B267,1)))</f>
        <v/>
      </c>
      <c r="K267" s="43" t="str">
        <f aca="false">IFERROR(IF($L267="","",TEXT(IF($L267&lt;1,HOUR($L267),INT($L267)),"00")&amp;":00"),"")</f>
        <v/>
      </c>
      <c r="L267" s="44"/>
      <c r="M267" s="45"/>
      <c r="N267" s="46"/>
      <c r="O267" s="45"/>
      <c r="P267" s="2"/>
      <c r="Q267" s="2"/>
      <c r="R267" s="2"/>
      <c r="S267" s="2"/>
      <c r="T267" s="2"/>
      <c r="U267" s="47" t="str">
        <f aca="false">IF($G267="","",IF($G267&lt;0,IF(N($U266)=0,1,$U266+1),0))</f>
        <v/>
      </c>
      <c r="V267" s="47" t="str">
        <f aca="false">IF($G267="","",IF($V266="",'Empieza aquí'!$D$8,$V266)+$G267)</f>
        <v/>
      </c>
      <c r="W267" s="47" t="str">
        <f aca="false">IF($V267="","",MAX(IF($W266="",'Empieza aquí'!$D$8,$W266),$V267))</f>
        <v/>
      </c>
      <c r="X267" s="47" t="str">
        <f aca="false">IF($V267="","",$V267-$W267)</f>
        <v/>
      </c>
      <c r="Y267" s="3"/>
      <c r="Z267" s="3"/>
      <c r="AA267" s="3"/>
      <c r="AB267" s="3"/>
      <c r="AC267" s="3"/>
      <c r="AD267" s="3"/>
      <c r="AE267" s="3"/>
      <c r="AF267" s="3"/>
      <c r="AG267" s="3"/>
      <c r="AH267" s="3"/>
    </row>
    <row r="268" customFormat="false" ht="15" hidden="false" customHeight="true" outlineLevel="0" collapsed="false">
      <c r="A268" s="2"/>
      <c r="B268" s="36"/>
      <c r="C268" s="37"/>
      <c r="D268" s="37"/>
      <c r="E268" s="38"/>
      <c r="F268" s="39"/>
      <c r="G268" s="40" t="str">
        <f aca="false">IF(OR($E268="",$C268="",$D268=""),"",$E268*$D268*IFERROR(INDEX(Listas!$C$6:$C$20,MATCH($C268,Listas!$B$6:$B$20,0)),0)-$D268*IFERROR(INDEX(Listas!$D$6:$D$20,MATCH($C268,Listas!$B$6:$B$20,0)),0))</f>
        <v/>
      </c>
      <c r="H268" s="41" t="str">
        <f aca="false">IF(OR($F268="",$C268="",$D268=""),"",ABS($F268)*$D268*IFERROR(INDEX(Listas!$C$6:$C$20,MATCH($C268,Listas!$B$6:$B$20,0)),0))</f>
        <v/>
      </c>
      <c r="I268" s="42" t="str">
        <f aca="false">IF(OR($E268="",$F268="",$F268=0),"",$E268/ABS($F268))</f>
        <v/>
      </c>
      <c r="J268" s="43" t="str">
        <f aca="false">IF($B268="","",INDEX(Listas!$G$6:$G$12,WEEKDAY($B268,1)))</f>
        <v/>
      </c>
      <c r="K268" s="43" t="str">
        <f aca="false">IFERROR(IF($L268="","",TEXT(IF($L268&lt;1,HOUR($L268),INT($L268)),"00")&amp;":00"),"")</f>
        <v/>
      </c>
      <c r="L268" s="44"/>
      <c r="M268" s="45"/>
      <c r="N268" s="46"/>
      <c r="O268" s="45"/>
      <c r="P268" s="2"/>
      <c r="Q268" s="2"/>
      <c r="R268" s="2"/>
      <c r="S268" s="2"/>
      <c r="T268" s="2"/>
      <c r="U268" s="47" t="str">
        <f aca="false">IF($G268="","",IF($G268&lt;0,IF(N($U267)=0,1,$U267+1),0))</f>
        <v/>
      </c>
      <c r="V268" s="47" t="str">
        <f aca="false">IF($G268="","",IF($V267="",'Empieza aquí'!$D$8,$V267)+$G268)</f>
        <v/>
      </c>
      <c r="W268" s="47" t="str">
        <f aca="false">IF($V268="","",MAX(IF($W267="",'Empieza aquí'!$D$8,$W267),$V268))</f>
        <v/>
      </c>
      <c r="X268" s="47" t="str">
        <f aca="false">IF($V268="","",$V268-$W268)</f>
        <v/>
      </c>
      <c r="Y268" s="3"/>
      <c r="Z268" s="3"/>
      <c r="AA268" s="3"/>
      <c r="AB268" s="3"/>
      <c r="AC268" s="3"/>
      <c r="AD268" s="3"/>
      <c r="AE268" s="3"/>
      <c r="AF268" s="3"/>
      <c r="AG268" s="3"/>
      <c r="AH268" s="3"/>
    </row>
    <row r="269" customFormat="false" ht="15" hidden="false" customHeight="true" outlineLevel="0" collapsed="false">
      <c r="A269" s="2"/>
      <c r="B269" s="36"/>
      <c r="C269" s="37"/>
      <c r="D269" s="37"/>
      <c r="E269" s="38"/>
      <c r="F269" s="39"/>
      <c r="G269" s="40" t="str">
        <f aca="false">IF(OR($E269="",$C269="",$D269=""),"",$E269*$D269*IFERROR(INDEX(Listas!$C$6:$C$20,MATCH($C269,Listas!$B$6:$B$20,0)),0)-$D269*IFERROR(INDEX(Listas!$D$6:$D$20,MATCH($C269,Listas!$B$6:$B$20,0)),0))</f>
        <v/>
      </c>
      <c r="H269" s="41" t="str">
        <f aca="false">IF(OR($F269="",$C269="",$D269=""),"",ABS($F269)*$D269*IFERROR(INDEX(Listas!$C$6:$C$20,MATCH($C269,Listas!$B$6:$B$20,0)),0))</f>
        <v/>
      </c>
      <c r="I269" s="42" t="str">
        <f aca="false">IF(OR($E269="",$F269="",$F269=0),"",$E269/ABS($F269))</f>
        <v/>
      </c>
      <c r="J269" s="43" t="str">
        <f aca="false">IF($B269="","",INDEX(Listas!$G$6:$G$12,WEEKDAY($B269,1)))</f>
        <v/>
      </c>
      <c r="K269" s="43" t="str">
        <f aca="false">IFERROR(IF($L269="","",TEXT(IF($L269&lt;1,HOUR($L269),INT($L269)),"00")&amp;":00"),"")</f>
        <v/>
      </c>
      <c r="L269" s="44"/>
      <c r="M269" s="45"/>
      <c r="N269" s="46"/>
      <c r="O269" s="45"/>
      <c r="P269" s="2"/>
      <c r="Q269" s="2"/>
      <c r="R269" s="2"/>
      <c r="S269" s="2"/>
      <c r="T269" s="2"/>
      <c r="U269" s="47" t="str">
        <f aca="false">IF($G269="","",IF($G269&lt;0,IF(N($U268)=0,1,$U268+1),0))</f>
        <v/>
      </c>
      <c r="V269" s="47" t="str">
        <f aca="false">IF($G269="","",IF($V268="",'Empieza aquí'!$D$8,$V268)+$G269)</f>
        <v/>
      </c>
      <c r="W269" s="47" t="str">
        <f aca="false">IF($V269="","",MAX(IF($W268="",'Empieza aquí'!$D$8,$W268),$V269))</f>
        <v/>
      </c>
      <c r="X269" s="47" t="str">
        <f aca="false">IF($V269="","",$V269-$W269)</f>
        <v/>
      </c>
      <c r="Y269" s="3"/>
      <c r="Z269" s="3"/>
      <c r="AA269" s="3"/>
      <c r="AB269" s="3"/>
      <c r="AC269" s="3"/>
      <c r="AD269" s="3"/>
      <c r="AE269" s="3"/>
      <c r="AF269" s="3"/>
      <c r="AG269" s="3"/>
      <c r="AH269" s="3"/>
    </row>
    <row r="270" customFormat="false" ht="15" hidden="false" customHeight="true" outlineLevel="0" collapsed="false">
      <c r="A270" s="2"/>
      <c r="B270" s="36"/>
      <c r="C270" s="37"/>
      <c r="D270" s="37"/>
      <c r="E270" s="38"/>
      <c r="F270" s="39"/>
      <c r="G270" s="40" t="str">
        <f aca="false">IF(OR($E270="",$C270="",$D270=""),"",$E270*$D270*IFERROR(INDEX(Listas!$C$6:$C$20,MATCH($C270,Listas!$B$6:$B$20,0)),0)-$D270*IFERROR(INDEX(Listas!$D$6:$D$20,MATCH($C270,Listas!$B$6:$B$20,0)),0))</f>
        <v/>
      </c>
      <c r="H270" s="41" t="str">
        <f aca="false">IF(OR($F270="",$C270="",$D270=""),"",ABS($F270)*$D270*IFERROR(INDEX(Listas!$C$6:$C$20,MATCH($C270,Listas!$B$6:$B$20,0)),0))</f>
        <v/>
      </c>
      <c r="I270" s="42" t="str">
        <f aca="false">IF(OR($E270="",$F270="",$F270=0),"",$E270/ABS($F270))</f>
        <v/>
      </c>
      <c r="J270" s="43" t="str">
        <f aca="false">IF($B270="","",INDEX(Listas!$G$6:$G$12,WEEKDAY($B270,1)))</f>
        <v/>
      </c>
      <c r="K270" s="43" t="str">
        <f aca="false">IFERROR(IF($L270="","",TEXT(IF($L270&lt;1,HOUR($L270),INT($L270)),"00")&amp;":00"),"")</f>
        <v/>
      </c>
      <c r="L270" s="44"/>
      <c r="M270" s="45"/>
      <c r="N270" s="46"/>
      <c r="O270" s="45"/>
      <c r="P270" s="2"/>
      <c r="Q270" s="2"/>
      <c r="R270" s="2"/>
      <c r="S270" s="2"/>
      <c r="T270" s="2"/>
      <c r="U270" s="47" t="str">
        <f aca="false">IF($G270="","",IF($G270&lt;0,IF(N($U269)=0,1,$U269+1),0))</f>
        <v/>
      </c>
      <c r="V270" s="47" t="str">
        <f aca="false">IF($G270="","",IF($V269="",'Empieza aquí'!$D$8,$V269)+$G270)</f>
        <v/>
      </c>
      <c r="W270" s="47" t="str">
        <f aca="false">IF($V270="","",MAX(IF($W269="",'Empieza aquí'!$D$8,$W269),$V270))</f>
        <v/>
      </c>
      <c r="X270" s="47" t="str">
        <f aca="false">IF($V270="","",$V270-$W270)</f>
        <v/>
      </c>
      <c r="Y270" s="3"/>
      <c r="Z270" s="3"/>
      <c r="AA270" s="3"/>
      <c r="AB270" s="3"/>
      <c r="AC270" s="3"/>
      <c r="AD270" s="3"/>
      <c r="AE270" s="3"/>
      <c r="AF270" s="3"/>
      <c r="AG270" s="3"/>
      <c r="AH270" s="3"/>
    </row>
    <row r="271" customFormat="false" ht="15" hidden="false" customHeight="true" outlineLevel="0" collapsed="false">
      <c r="A271" s="2"/>
      <c r="B271" s="36"/>
      <c r="C271" s="37"/>
      <c r="D271" s="37"/>
      <c r="E271" s="38"/>
      <c r="F271" s="39"/>
      <c r="G271" s="40" t="str">
        <f aca="false">IF(OR($E271="",$C271="",$D271=""),"",$E271*$D271*IFERROR(INDEX(Listas!$C$6:$C$20,MATCH($C271,Listas!$B$6:$B$20,0)),0)-$D271*IFERROR(INDEX(Listas!$D$6:$D$20,MATCH($C271,Listas!$B$6:$B$20,0)),0))</f>
        <v/>
      </c>
      <c r="H271" s="41" t="str">
        <f aca="false">IF(OR($F271="",$C271="",$D271=""),"",ABS($F271)*$D271*IFERROR(INDEX(Listas!$C$6:$C$20,MATCH($C271,Listas!$B$6:$B$20,0)),0))</f>
        <v/>
      </c>
      <c r="I271" s="42" t="str">
        <f aca="false">IF(OR($E271="",$F271="",$F271=0),"",$E271/ABS($F271))</f>
        <v/>
      </c>
      <c r="J271" s="43" t="str">
        <f aca="false">IF($B271="","",INDEX(Listas!$G$6:$G$12,WEEKDAY($B271,1)))</f>
        <v/>
      </c>
      <c r="K271" s="43" t="str">
        <f aca="false">IFERROR(IF($L271="","",TEXT(IF($L271&lt;1,HOUR($L271),INT($L271)),"00")&amp;":00"),"")</f>
        <v/>
      </c>
      <c r="L271" s="44"/>
      <c r="M271" s="45"/>
      <c r="N271" s="46"/>
      <c r="O271" s="45"/>
      <c r="P271" s="2"/>
      <c r="Q271" s="2"/>
      <c r="R271" s="2"/>
      <c r="S271" s="2"/>
      <c r="T271" s="2"/>
      <c r="U271" s="47" t="str">
        <f aca="false">IF($G271="","",IF($G271&lt;0,IF(N($U270)=0,1,$U270+1),0))</f>
        <v/>
      </c>
      <c r="V271" s="47" t="str">
        <f aca="false">IF($G271="","",IF($V270="",'Empieza aquí'!$D$8,$V270)+$G271)</f>
        <v/>
      </c>
      <c r="W271" s="47" t="str">
        <f aca="false">IF($V271="","",MAX(IF($W270="",'Empieza aquí'!$D$8,$W270),$V271))</f>
        <v/>
      </c>
      <c r="X271" s="47" t="str">
        <f aca="false">IF($V271="","",$V271-$W271)</f>
        <v/>
      </c>
      <c r="Y271" s="3"/>
      <c r="Z271" s="3"/>
      <c r="AA271" s="3"/>
      <c r="AB271" s="3"/>
      <c r="AC271" s="3"/>
      <c r="AD271" s="3"/>
      <c r="AE271" s="3"/>
      <c r="AF271" s="3"/>
      <c r="AG271" s="3"/>
      <c r="AH271" s="3"/>
    </row>
    <row r="272" customFormat="false" ht="15" hidden="false" customHeight="true" outlineLevel="0" collapsed="false">
      <c r="A272" s="2"/>
      <c r="B272" s="36"/>
      <c r="C272" s="37"/>
      <c r="D272" s="37"/>
      <c r="E272" s="38"/>
      <c r="F272" s="39"/>
      <c r="G272" s="40" t="str">
        <f aca="false">IF(OR($E272="",$C272="",$D272=""),"",$E272*$D272*IFERROR(INDEX(Listas!$C$6:$C$20,MATCH($C272,Listas!$B$6:$B$20,0)),0)-$D272*IFERROR(INDEX(Listas!$D$6:$D$20,MATCH($C272,Listas!$B$6:$B$20,0)),0))</f>
        <v/>
      </c>
      <c r="H272" s="41" t="str">
        <f aca="false">IF(OR($F272="",$C272="",$D272=""),"",ABS($F272)*$D272*IFERROR(INDEX(Listas!$C$6:$C$20,MATCH($C272,Listas!$B$6:$B$20,0)),0))</f>
        <v/>
      </c>
      <c r="I272" s="42" t="str">
        <f aca="false">IF(OR($E272="",$F272="",$F272=0),"",$E272/ABS($F272))</f>
        <v/>
      </c>
      <c r="J272" s="43" t="str">
        <f aca="false">IF($B272="","",INDEX(Listas!$G$6:$G$12,WEEKDAY($B272,1)))</f>
        <v/>
      </c>
      <c r="K272" s="43" t="str">
        <f aca="false">IFERROR(IF($L272="","",TEXT(IF($L272&lt;1,HOUR($L272),INT($L272)),"00")&amp;":00"),"")</f>
        <v/>
      </c>
      <c r="L272" s="44"/>
      <c r="M272" s="45"/>
      <c r="N272" s="46"/>
      <c r="O272" s="45"/>
      <c r="P272" s="2"/>
      <c r="Q272" s="2"/>
      <c r="R272" s="2"/>
      <c r="S272" s="2"/>
      <c r="T272" s="2"/>
      <c r="U272" s="47" t="str">
        <f aca="false">IF($G272="","",IF($G272&lt;0,IF(N($U271)=0,1,$U271+1),0))</f>
        <v/>
      </c>
      <c r="V272" s="47" t="str">
        <f aca="false">IF($G272="","",IF($V271="",'Empieza aquí'!$D$8,$V271)+$G272)</f>
        <v/>
      </c>
      <c r="W272" s="47" t="str">
        <f aca="false">IF($V272="","",MAX(IF($W271="",'Empieza aquí'!$D$8,$W271),$V272))</f>
        <v/>
      </c>
      <c r="X272" s="47" t="str">
        <f aca="false">IF($V272="","",$V272-$W272)</f>
        <v/>
      </c>
      <c r="Y272" s="3"/>
      <c r="Z272" s="3"/>
      <c r="AA272" s="3"/>
      <c r="AB272" s="3"/>
      <c r="AC272" s="3"/>
      <c r="AD272" s="3"/>
      <c r="AE272" s="3"/>
      <c r="AF272" s="3"/>
      <c r="AG272" s="3"/>
      <c r="AH272" s="3"/>
    </row>
    <row r="273" customFormat="false" ht="15" hidden="false" customHeight="true" outlineLevel="0" collapsed="false">
      <c r="A273" s="2"/>
      <c r="B273" s="36"/>
      <c r="C273" s="37"/>
      <c r="D273" s="37"/>
      <c r="E273" s="38"/>
      <c r="F273" s="39"/>
      <c r="G273" s="40" t="str">
        <f aca="false">IF(OR($E273="",$C273="",$D273=""),"",$E273*$D273*IFERROR(INDEX(Listas!$C$6:$C$20,MATCH($C273,Listas!$B$6:$B$20,0)),0)-$D273*IFERROR(INDEX(Listas!$D$6:$D$20,MATCH($C273,Listas!$B$6:$B$20,0)),0))</f>
        <v/>
      </c>
      <c r="H273" s="41" t="str">
        <f aca="false">IF(OR($F273="",$C273="",$D273=""),"",ABS($F273)*$D273*IFERROR(INDEX(Listas!$C$6:$C$20,MATCH($C273,Listas!$B$6:$B$20,0)),0))</f>
        <v/>
      </c>
      <c r="I273" s="42" t="str">
        <f aca="false">IF(OR($E273="",$F273="",$F273=0),"",$E273/ABS($F273))</f>
        <v/>
      </c>
      <c r="J273" s="43" t="str">
        <f aca="false">IF($B273="","",INDEX(Listas!$G$6:$G$12,WEEKDAY($B273,1)))</f>
        <v/>
      </c>
      <c r="K273" s="43" t="str">
        <f aca="false">IFERROR(IF($L273="","",TEXT(IF($L273&lt;1,HOUR($L273),INT($L273)),"00")&amp;":00"),"")</f>
        <v/>
      </c>
      <c r="L273" s="44"/>
      <c r="M273" s="45"/>
      <c r="N273" s="46"/>
      <c r="O273" s="45"/>
      <c r="P273" s="2"/>
      <c r="Q273" s="2"/>
      <c r="R273" s="2"/>
      <c r="S273" s="2"/>
      <c r="T273" s="2"/>
      <c r="U273" s="47" t="str">
        <f aca="false">IF($G273="","",IF($G273&lt;0,IF(N($U272)=0,1,$U272+1),0))</f>
        <v/>
      </c>
      <c r="V273" s="47" t="str">
        <f aca="false">IF($G273="","",IF($V272="",'Empieza aquí'!$D$8,$V272)+$G273)</f>
        <v/>
      </c>
      <c r="W273" s="47" t="str">
        <f aca="false">IF($V273="","",MAX(IF($W272="",'Empieza aquí'!$D$8,$W272),$V273))</f>
        <v/>
      </c>
      <c r="X273" s="47" t="str">
        <f aca="false">IF($V273="","",$V273-$W273)</f>
        <v/>
      </c>
      <c r="Y273" s="3"/>
      <c r="Z273" s="3"/>
      <c r="AA273" s="3"/>
      <c r="AB273" s="3"/>
      <c r="AC273" s="3"/>
      <c r="AD273" s="3"/>
      <c r="AE273" s="3"/>
      <c r="AF273" s="3"/>
      <c r="AG273" s="3"/>
      <c r="AH273" s="3"/>
    </row>
    <row r="274" customFormat="false" ht="15" hidden="false" customHeight="true" outlineLevel="0" collapsed="false">
      <c r="A274" s="2"/>
      <c r="B274" s="36"/>
      <c r="C274" s="37"/>
      <c r="D274" s="37"/>
      <c r="E274" s="38"/>
      <c r="F274" s="39"/>
      <c r="G274" s="40" t="str">
        <f aca="false">IF(OR($E274="",$C274="",$D274=""),"",$E274*$D274*IFERROR(INDEX(Listas!$C$6:$C$20,MATCH($C274,Listas!$B$6:$B$20,0)),0)-$D274*IFERROR(INDEX(Listas!$D$6:$D$20,MATCH($C274,Listas!$B$6:$B$20,0)),0))</f>
        <v/>
      </c>
      <c r="H274" s="41" t="str">
        <f aca="false">IF(OR($F274="",$C274="",$D274=""),"",ABS($F274)*$D274*IFERROR(INDEX(Listas!$C$6:$C$20,MATCH($C274,Listas!$B$6:$B$20,0)),0))</f>
        <v/>
      </c>
      <c r="I274" s="42" t="str">
        <f aca="false">IF(OR($E274="",$F274="",$F274=0),"",$E274/ABS($F274))</f>
        <v/>
      </c>
      <c r="J274" s="43" t="str">
        <f aca="false">IF($B274="","",INDEX(Listas!$G$6:$G$12,WEEKDAY($B274,1)))</f>
        <v/>
      </c>
      <c r="K274" s="43" t="str">
        <f aca="false">IFERROR(IF($L274="","",TEXT(IF($L274&lt;1,HOUR($L274),INT($L274)),"00")&amp;":00"),"")</f>
        <v/>
      </c>
      <c r="L274" s="44"/>
      <c r="M274" s="45"/>
      <c r="N274" s="46"/>
      <c r="O274" s="45"/>
      <c r="P274" s="2"/>
      <c r="Q274" s="2"/>
      <c r="R274" s="2"/>
      <c r="S274" s="2"/>
      <c r="T274" s="2"/>
      <c r="U274" s="47" t="str">
        <f aca="false">IF($G274="","",IF($G274&lt;0,IF(N($U273)=0,1,$U273+1),0))</f>
        <v/>
      </c>
      <c r="V274" s="47" t="str">
        <f aca="false">IF($G274="","",IF($V273="",'Empieza aquí'!$D$8,$V273)+$G274)</f>
        <v/>
      </c>
      <c r="W274" s="47" t="str">
        <f aca="false">IF($V274="","",MAX(IF($W273="",'Empieza aquí'!$D$8,$W273),$V274))</f>
        <v/>
      </c>
      <c r="X274" s="47" t="str">
        <f aca="false">IF($V274="","",$V274-$W274)</f>
        <v/>
      </c>
      <c r="Y274" s="3"/>
      <c r="Z274" s="3"/>
      <c r="AA274" s="3"/>
      <c r="AB274" s="3"/>
      <c r="AC274" s="3"/>
      <c r="AD274" s="3"/>
      <c r="AE274" s="3"/>
      <c r="AF274" s="3"/>
      <c r="AG274" s="3"/>
      <c r="AH274" s="3"/>
    </row>
    <row r="275" customFormat="false" ht="15" hidden="false" customHeight="true" outlineLevel="0" collapsed="false">
      <c r="A275" s="2"/>
      <c r="B275" s="36"/>
      <c r="C275" s="37"/>
      <c r="D275" s="37"/>
      <c r="E275" s="38"/>
      <c r="F275" s="39"/>
      <c r="G275" s="40" t="str">
        <f aca="false">IF(OR($E275="",$C275="",$D275=""),"",$E275*$D275*IFERROR(INDEX(Listas!$C$6:$C$20,MATCH($C275,Listas!$B$6:$B$20,0)),0)-$D275*IFERROR(INDEX(Listas!$D$6:$D$20,MATCH($C275,Listas!$B$6:$B$20,0)),0))</f>
        <v/>
      </c>
      <c r="H275" s="41" t="str">
        <f aca="false">IF(OR($F275="",$C275="",$D275=""),"",ABS($F275)*$D275*IFERROR(INDEX(Listas!$C$6:$C$20,MATCH($C275,Listas!$B$6:$B$20,0)),0))</f>
        <v/>
      </c>
      <c r="I275" s="42" t="str">
        <f aca="false">IF(OR($E275="",$F275="",$F275=0),"",$E275/ABS($F275))</f>
        <v/>
      </c>
      <c r="J275" s="43" t="str">
        <f aca="false">IF($B275="","",INDEX(Listas!$G$6:$G$12,WEEKDAY($B275,1)))</f>
        <v/>
      </c>
      <c r="K275" s="43" t="str">
        <f aca="false">IFERROR(IF($L275="","",TEXT(IF($L275&lt;1,HOUR($L275),INT($L275)),"00")&amp;":00"),"")</f>
        <v/>
      </c>
      <c r="L275" s="44"/>
      <c r="M275" s="45"/>
      <c r="N275" s="46"/>
      <c r="O275" s="45"/>
      <c r="P275" s="2"/>
      <c r="Q275" s="2"/>
      <c r="R275" s="2"/>
      <c r="S275" s="2"/>
      <c r="T275" s="2"/>
      <c r="U275" s="47" t="str">
        <f aca="false">IF($G275="","",IF($G275&lt;0,IF(N($U274)=0,1,$U274+1),0))</f>
        <v/>
      </c>
      <c r="V275" s="47" t="str">
        <f aca="false">IF($G275="","",IF($V274="",'Empieza aquí'!$D$8,$V274)+$G275)</f>
        <v/>
      </c>
      <c r="W275" s="47" t="str">
        <f aca="false">IF($V275="","",MAX(IF($W274="",'Empieza aquí'!$D$8,$W274),$V275))</f>
        <v/>
      </c>
      <c r="X275" s="47" t="str">
        <f aca="false">IF($V275="","",$V275-$W275)</f>
        <v/>
      </c>
      <c r="Y275" s="3"/>
      <c r="Z275" s="3"/>
      <c r="AA275" s="3"/>
      <c r="AB275" s="3"/>
      <c r="AC275" s="3"/>
      <c r="AD275" s="3"/>
      <c r="AE275" s="3"/>
      <c r="AF275" s="3"/>
      <c r="AG275" s="3"/>
      <c r="AH275" s="3"/>
    </row>
    <row r="276" customFormat="false" ht="15" hidden="false" customHeight="true" outlineLevel="0" collapsed="false">
      <c r="A276" s="2"/>
      <c r="B276" s="36"/>
      <c r="C276" s="37"/>
      <c r="D276" s="37"/>
      <c r="E276" s="38"/>
      <c r="F276" s="39"/>
      <c r="G276" s="40" t="str">
        <f aca="false">IF(OR($E276="",$C276="",$D276=""),"",$E276*$D276*IFERROR(INDEX(Listas!$C$6:$C$20,MATCH($C276,Listas!$B$6:$B$20,0)),0)-$D276*IFERROR(INDEX(Listas!$D$6:$D$20,MATCH($C276,Listas!$B$6:$B$20,0)),0))</f>
        <v/>
      </c>
      <c r="H276" s="41" t="str">
        <f aca="false">IF(OR($F276="",$C276="",$D276=""),"",ABS($F276)*$D276*IFERROR(INDEX(Listas!$C$6:$C$20,MATCH($C276,Listas!$B$6:$B$20,0)),0))</f>
        <v/>
      </c>
      <c r="I276" s="42" t="str">
        <f aca="false">IF(OR($E276="",$F276="",$F276=0),"",$E276/ABS($F276))</f>
        <v/>
      </c>
      <c r="J276" s="43" t="str">
        <f aca="false">IF($B276="","",INDEX(Listas!$G$6:$G$12,WEEKDAY($B276,1)))</f>
        <v/>
      </c>
      <c r="K276" s="43" t="str">
        <f aca="false">IFERROR(IF($L276="","",TEXT(IF($L276&lt;1,HOUR($L276),INT($L276)),"00")&amp;":00"),"")</f>
        <v/>
      </c>
      <c r="L276" s="44"/>
      <c r="M276" s="45"/>
      <c r="N276" s="46"/>
      <c r="O276" s="45"/>
      <c r="P276" s="2"/>
      <c r="Q276" s="2"/>
      <c r="R276" s="2"/>
      <c r="S276" s="2"/>
      <c r="T276" s="2"/>
      <c r="U276" s="47" t="str">
        <f aca="false">IF($G276="","",IF($G276&lt;0,IF(N($U275)=0,1,$U275+1),0))</f>
        <v/>
      </c>
      <c r="V276" s="47" t="str">
        <f aca="false">IF($G276="","",IF($V275="",'Empieza aquí'!$D$8,$V275)+$G276)</f>
        <v/>
      </c>
      <c r="W276" s="47" t="str">
        <f aca="false">IF($V276="","",MAX(IF($W275="",'Empieza aquí'!$D$8,$W275),$V276))</f>
        <v/>
      </c>
      <c r="X276" s="47" t="str">
        <f aca="false">IF($V276="","",$V276-$W276)</f>
        <v/>
      </c>
      <c r="Y276" s="3"/>
      <c r="Z276" s="3"/>
      <c r="AA276" s="3"/>
      <c r="AB276" s="3"/>
      <c r="AC276" s="3"/>
      <c r="AD276" s="3"/>
      <c r="AE276" s="3"/>
      <c r="AF276" s="3"/>
      <c r="AG276" s="3"/>
      <c r="AH276" s="3"/>
    </row>
    <row r="277" customFormat="false" ht="15" hidden="false" customHeight="true" outlineLevel="0" collapsed="false">
      <c r="A277" s="2"/>
      <c r="B277" s="36"/>
      <c r="C277" s="37"/>
      <c r="D277" s="37"/>
      <c r="E277" s="38"/>
      <c r="F277" s="39"/>
      <c r="G277" s="40" t="str">
        <f aca="false">IF(OR($E277="",$C277="",$D277=""),"",$E277*$D277*IFERROR(INDEX(Listas!$C$6:$C$20,MATCH($C277,Listas!$B$6:$B$20,0)),0)-$D277*IFERROR(INDEX(Listas!$D$6:$D$20,MATCH($C277,Listas!$B$6:$B$20,0)),0))</f>
        <v/>
      </c>
      <c r="H277" s="41" t="str">
        <f aca="false">IF(OR($F277="",$C277="",$D277=""),"",ABS($F277)*$D277*IFERROR(INDEX(Listas!$C$6:$C$20,MATCH($C277,Listas!$B$6:$B$20,0)),0))</f>
        <v/>
      </c>
      <c r="I277" s="42" t="str">
        <f aca="false">IF(OR($E277="",$F277="",$F277=0),"",$E277/ABS($F277))</f>
        <v/>
      </c>
      <c r="J277" s="43" t="str">
        <f aca="false">IF($B277="","",INDEX(Listas!$G$6:$G$12,WEEKDAY($B277,1)))</f>
        <v/>
      </c>
      <c r="K277" s="43" t="str">
        <f aca="false">IFERROR(IF($L277="","",TEXT(IF($L277&lt;1,HOUR($L277),INT($L277)),"00")&amp;":00"),"")</f>
        <v/>
      </c>
      <c r="L277" s="44"/>
      <c r="M277" s="45"/>
      <c r="N277" s="46"/>
      <c r="O277" s="45"/>
      <c r="P277" s="2"/>
      <c r="Q277" s="2"/>
      <c r="R277" s="2"/>
      <c r="S277" s="2"/>
      <c r="T277" s="2"/>
      <c r="U277" s="47" t="str">
        <f aca="false">IF($G277="","",IF($G277&lt;0,IF(N($U276)=0,1,$U276+1),0))</f>
        <v/>
      </c>
      <c r="V277" s="47" t="str">
        <f aca="false">IF($G277="","",IF($V276="",'Empieza aquí'!$D$8,$V276)+$G277)</f>
        <v/>
      </c>
      <c r="W277" s="47" t="str">
        <f aca="false">IF($V277="","",MAX(IF($W276="",'Empieza aquí'!$D$8,$W276),$V277))</f>
        <v/>
      </c>
      <c r="X277" s="47" t="str">
        <f aca="false">IF($V277="","",$V277-$W277)</f>
        <v/>
      </c>
      <c r="Y277" s="3"/>
      <c r="Z277" s="3"/>
      <c r="AA277" s="3"/>
      <c r="AB277" s="3"/>
      <c r="AC277" s="3"/>
      <c r="AD277" s="3"/>
      <c r="AE277" s="3"/>
      <c r="AF277" s="3"/>
      <c r="AG277" s="3"/>
      <c r="AH277" s="3"/>
    </row>
    <row r="278" customFormat="false" ht="15" hidden="false" customHeight="true" outlineLevel="0" collapsed="false">
      <c r="A278" s="2"/>
      <c r="B278" s="36"/>
      <c r="C278" s="37"/>
      <c r="D278" s="37"/>
      <c r="E278" s="38"/>
      <c r="F278" s="39"/>
      <c r="G278" s="40" t="str">
        <f aca="false">IF(OR($E278="",$C278="",$D278=""),"",$E278*$D278*IFERROR(INDEX(Listas!$C$6:$C$20,MATCH($C278,Listas!$B$6:$B$20,0)),0)-$D278*IFERROR(INDEX(Listas!$D$6:$D$20,MATCH($C278,Listas!$B$6:$B$20,0)),0))</f>
        <v/>
      </c>
      <c r="H278" s="41" t="str">
        <f aca="false">IF(OR($F278="",$C278="",$D278=""),"",ABS($F278)*$D278*IFERROR(INDEX(Listas!$C$6:$C$20,MATCH($C278,Listas!$B$6:$B$20,0)),0))</f>
        <v/>
      </c>
      <c r="I278" s="42" t="str">
        <f aca="false">IF(OR($E278="",$F278="",$F278=0),"",$E278/ABS($F278))</f>
        <v/>
      </c>
      <c r="J278" s="43" t="str">
        <f aca="false">IF($B278="","",INDEX(Listas!$G$6:$G$12,WEEKDAY($B278,1)))</f>
        <v/>
      </c>
      <c r="K278" s="43" t="str">
        <f aca="false">IFERROR(IF($L278="","",TEXT(IF($L278&lt;1,HOUR($L278),INT($L278)),"00")&amp;":00"),"")</f>
        <v/>
      </c>
      <c r="L278" s="44"/>
      <c r="M278" s="45"/>
      <c r="N278" s="46"/>
      <c r="O278" s="45"/>
      <c r="P278" s="2"/>
      <c r="Q278" s="2"/>
      <c r="R278" s="2"/>
      <c r="S278" s="2"/>
      <c r="T278" s="2"/>
      <c r="U278" s="47" t="str">
        <f aca="false">IF($G278="","",IF($G278&lt;0,IF(N($U277)=0,1,$U277+1),0))</f>
        <v/>
      </c>
      <c r="V278" s="47" t="str">
        <f aca="false">IF($G278="","",IF($V277="",'Empieza aquí'!$D$8,$V277)+$G278)</f>
        <v/>
      </c>
      <c r="W278" s="47" t="str">
        <f aca="false">IF($V278="","",MAX(IF($W277="",'Empieza aquí'!$D$8,$W277),$V278))</f>
        <v/>
      </c>
      <c r="X278" s="47" t="str">
        <f aca="false">IF($V278="","",$V278-$W278)</f>
        <v/>
      </c>
      <c r="Y278" s="3"/>
      <c r="Z278" s="3"/>
      <c r="AA278" s="3"/>
      <c r="AB278" s="3"/>
      <c r="AC278" s="3"/>
      <c r="AD278" s="3"/>
      <c r="AE278" s="3"/>
      <c r="AF278" s="3"/>
      <c r="AG278" s="3"/>
      <c r="AH278" s="3"/>
    </row>
    <row r="279" customFormat="false" ht="15" hidden="false" customHeight="true" outlineLevel="0" collapsed="false">
      <c r="A279" s="2"/>
      <c r="B279" s="36"/>
      <c r="C279" s="37"/>
      <c r="D279" s="37"/>
      <c r="E279" s="38"/>
      <c r="F279" s="39"/>
      <c r="G279" s="40" t="str">
        <f aca="false">IF(OR($E279="",$C279="",$D279=""),"",$E279*$D279*IFERROR(INDEX(Listas!$C$6:$C$20,MATCH($C279,Listas!$B$6:$B$20,0)),0)-$D279*IFERROR(INDEX(Listas!$D$6:$D$20,MATCH($C279,Listas!$B$6:$B$20,0)),0))</f>
        <v/>
      </c>
      <c r="H279" s="41" t="str">
        <f aca="false">IF(OR($F279="",$C279="",$D279=""),"",ABS($F279)*$D279*IFERROR(INDEX(Listas!$C$6:$C$20,MATCH($C279,Listas!$B$6:$B$20,0)),0))</f>
        <v/>
      </c>
      <c r="I279" s="42" t="str">
        <f aca="false">IF(OR($E279="",$F279="",$F279=0),"",$E279/ABS($F279))</f>
        <v/>
      </c>
      <c r="J279" s="43" t="str">
        <f aca="false">IF($B279="","",INDEX(Listas!$G$6:$G$12,WEEKDAY($B279,1)))</f>
        <v/>
      </c>
      <c r="K279" s="43" t="str">
        <f aca="false">IFERROR(IF($L279="","",TEXT(IF($L279&lt;1,HOUR($L279),INT($L279)),"00")&amp;":00"),"")</f>
        <v/>
      </c>
      <c r="L279" s="44"/>
      <c r="M279" s="45"/>
      <c r="N279" s="46"/>
      <c r="O279" s="45"/>
      <c r="P279" s="2"/>
      <c r="Q279" s="2"/>
      <c r="R279" s="2"/>
      <c r="S279" s="2"/>
      <c r="T279" s="2"/>
      <c r="U279" s="47" t="str">
        <f aca="false">IF($G279="","",IF($G279&lt;0,IF(N($U278)=0,1,$U278+1),0))</f>
        <v/>
      </c>
      <c r="V279" s="47" t="str">
        <f aca="false">IF($G279="","",IF($V278="",'Empieza aquí'!$D$8,$V278)+$G279)</f>
        <v/>
      </c>
      <c r="W279" s="47" t="str">
        <f aca="false">IF($V279="","",MAX(IF($W278="",'Empieza aquí'!$D$8,$W278),$V279))</f>
        <v/>
      </c>
      <c r="X279" s="47" t="str">
        <f aca="false">IF($V279="","",$V279-$W279)</f>
        <v/>
      </c>
      <c r="Y279" s="3"/>
      <c r="Z279" s="3"/>
      <c r="AA279" s="3"/>
      <c r="AB279" s="3"/>
      <c r="AC279" s="3"/>
      <c r="AD279" s="3"/>
      <c r="AE279" s="3"/>
      <c r="AF279" s="3"/>
      <c r="AG279" s="3"/>
      <c r="AH279" s="3"/>
    </row>
    <row r="280" customFormat="false" ht="15" hidden="false" customHeight="true" outlineLevel="0" collapsed="false">
      <c r="A280" s="2"/>
      <c r="B280" s="36"/>
      <c r="C280" s="37"/>
      <c r="D280" s="37"/>
      <c r="E280" s="38"/>
      <c r="F280" s="39"/>
      <c r="G280" s="40" t="str">
        <f aca="false">IF(OR($E280="",$C280="",$D280=""),"",$E280*$D280*IFERROR(INDEX(Listas!$C$6:$C$20,MATCH($C280,Listas!$B$6:$B$20,0)),0)-$D280*IFERROR(INDEX(Listas!$D$6:$D$20,MATCH($C280,Listas!$B$6:$B$20,0)),0))</f>
        <v/>
      </c>
      <c r="H280" s="41" t="str">
        <f aca="false">IF(OR($F280="",$C280="",$D280=""),"",ABS($F280)*$D280*IFERROR(INDEX(Listas!$C$6:$C$20,MATCH($C280,Listas!$B$6:$B$20,0)),0))</f>
        <v/>
      </c>
      <c r="I280" s="42" t="str">
        <f aca="false">IF(OR($E280="",$F280="",$F280=0),"",$E280/ABS($F280))</f>
        <v/>
      </c>
      <c r="J280" s="43" t="str">
        <f aca="false">IF($B280="","",INDEX(Listas!$G$6:$G$12,WEEKDAY($B280,1)))</f>
        <v/>
      </c>
      <c r="K280" s="43" t="str">
        <f aca="false">IFERROR(IF($L280="","",TEXT(IF($L280&lt;1,HOUR($L280),INT($L280)),"00")&amp;":00"),"")</f>
        <v/>
      </c>
      <c r="L280" s="44"/>
      <c r="M280" s="45"/>
      <c r="N280" s="46"/>
      <c r="O280" s="45"/>
      <c r="P280" s="2"/>
      <c r="Q280" s="2"/>
      <c r="R280" s="2"/>
      <c r="S280" s="2"/>
      <c r="T280" s="2"/>
      <c r="U280" s="47" t="str">
        <f aca="false">IF($G280="","",IF($G280&lt;0,IF(N($U279)=0,1,$U279+1),0))</f>
        <v/>
      </c>
      <c r="V280" s="47" t="str">
        <f aca="false">IF($G280="","",IF($V279="",'Empieza aquí'!$D$8,$V279)+$G280)</f>
        <v/>
      </c>
      <c r="W280" s="47" t="str">
        <f aca="false">IF($V280="","",MAX(IF($W279="",'Empieza aquí'!$D$8,$W279),$V280))</f>
        <v/>
      </c>
      <c r="X280" s="47" t="str">
        <f aca="false">IF($V280="","",$V280-$W280)</f>
        <v/>
      </c>
      <c r="Y280" s="3"/>
      <c r="Z280" s="3"/>
      <c r="AA280" s="3"/>
      <c r="AB280" s="3"/>
      <c r="AC280" s="3"/>
      <c r="AD280" s="3"/>
      <c r="AE280" s="3"/>
      <c r="AF280" s="3"/>
      <c r="AG280" s="3"/>
      <c r="AH280" s="3"/>
    </row>
    <row r="281" customFormat="false" ht="15" hidden="false" customHeight="true" outlineLevel="0" collapsed="false">
      <c r="A281" s="2"/>
      <c r="B281" s="36"/>
      <c r="C281" s="37"/>
      <c r="D281" s="37"/>
      <c r="E281" s="38"/>
      <c r="F281" s="39"/>
      <c r="G281" s="40" t="str">
        <f aca="false">IF(OR($E281="",$C281="",$D281=""),"",$E281*$D281*IFERROR(INDEX(Listas!$C$6:$C$20,MATCH($C281,Listas!$B$6:$B$20,0)),0)-$D281*IFERROR(INDEX(Listas!$D$6:$D$20,MATCH($C281,Listas!$B$6:$B$20,0)),0))</f>
        <v/>
      </c>
      <c r="H281" s="41" t="str">
        <f aca="false">IF(OR($F281="",$C281="",$D281=""),"",ABS($F281)*$D281*IFERROR(INDEX(Listas!$C$6:$C$20,MATCH($C281,Listas!$B$6:$B$20,0)),0))</f>
        <v/>
      </c>
      <c r="I281" s="42" t="str">
        <f aca="false">IF(OR($E281="",$F281="",$F281=0),"",$E281/ABS($F281))</f>
        <v/>
      </c>
      <c r="J281" s="43" t="str">
        <f aca="false">IF($B281="","",INDEX(Listas!$G$6:$G$12,WEEKDAY($B281,1)))</f>
        <v/>
      </c>
      <c r="K281" s="43" t="str">
        <f aca="false">IFERROR(IF($L281="","",TEXT(IF($L281&lt;1,HOUR($L281),INT($L281)),"00")&amp;":00"),"")</f>
        <v/>
      </c>
      <c r="L281" s="44"/>
      <c r="M281" s="45"/>
      <c r="N281" s="46"/>
      <c r="O281" s="45"/>
      <c r="P281" s="2"/>
      <c r="Q281" s="2"/>
      <c r="R281" s="2"/>
      <c r="S281" s="2"/>
      <c r="T281" s="2"/>
      <c r="U281" s="47" t="str">
        <f aca="false">IF($G281="","",IF($G281&lt;0,IF(N($U280)=0,1,$U280+1),0))</f>
        <v/>
      </c>
      <c r="V281" s="47" t="str">
        <f aca="false">IF($G281="","",IF($V280="",'Empieza aquí'!$D$8,$V280)+$G281)</f>
        <v/>
      </c>
      <c r="W281" s="47" t="str">
        <f aca="false">IF($V281="","",MAX(IF($W280="",'Empieza aquí'!$D$8,$W280),$V281))</f>
        <v/>
      </c>
      <c r="X281" s="47" t="str">
        <f aca="false">IF($V281="","",$V281-$W281)</f>
        <v/>
      </c>
      <c r="Y281" s="3"/>
      <c r="Z281" s="3"/>
      <c r="AA281" s="3"/>
      <c r="AB281" s="3"/>
      <c r="AC281" s="3"/>
      <c r="AD281" s="3"/>
      <c r="AE281" s="3"/>
      <c r="AF281" s="3"/>
      <c r="AG281" s="3"/>
      <c r="AH281" s="3"/>
    </row>
    <row r="282" customFormat="false" ht="15" hidden="false" customHeight="true" outlineLevel="0" collapsed="false">
      <c r="A282" s="2"/>
      <c r="B282" s="36"/>
      <c r="C282" s="37"/>
      <c r="D282" s="37"/>
      <c r="E282" s="38"/>
      <c r="F282" s="39"/>
      <c r="G282" s="40" t="str">
        <f aca="false">IF(OR($E282="",$C282="",$D282=""),"",$E282*$D282*IFERROR(INDEX(Listas!$C$6:$C$20,MATCH($C282,Listas!$B$6:$B$20,0)),0)-$D282*IFERROR(INDEX(Listas!$D$6:$D$20,MATCH($C282,Listas!$B$6:$B$20,0)),0))</f>
        <v/>
      </c>
      <c r="H282" s="41" t="str">
        <f aca="false">IF(OR($F282="",$C282="",$D282=""),"",ABS($F282)*$D282*IFERROR(INDEX(Listas!$C$6:$C$20,MATCH($C282,Listas!$B$6:$B$20,0)),0))</f>
        <v/>
      </c>
      <c r="I282" s="42" t="str">
        <f aca="false">IF(OR($E282="",$F282="",$F282=0),"",$E282/ABS($F282))</f>
        <v/>
      </c>
      <c r="J282" s="43" t="str">
        <f aca="false">IF($B282="","",INDEX(Listas!$G$6:$G$12,WEEKDAY($B282,1)))</f>
        <v/>
      </c>
      <c r="K282" s="43" t="str">
        <f aca="false">IFERROR(IF($L282="","",TEXT(IF($L282&lt;1,HOUR($L282),INT($L282)),"00")&amp;":00"),"")</f>
        <v/>
      </c>
      <c r="L282" s="44"/>
      <c r="M282" s="45"/>
      <c r="N282" s="46"/>
      <c r="O282" s="45"/>
      <c r="P282" s="2"/>
      <c r="Q282" s="2"/>
      <c r="R282" s="2"/>
      <c r="S282" s="2"/>
      <c r="T282" s="2"/>
      <c r="U282" s="47" t="str">
        <f aca="false">IF($G282="","",IF($G282&lt;0,IF(N($U281)=0,1,$U281+1),0))</f>
        <v/>
      </c>
      <c r="V282" s="47" t="str">
        <f aca="false">IF($G282="","",IF($V281="",'Empieza aquí'!$D$8,$V281)+$G282)</f>
        <v/>
      </c>
      <c r="W282" s="47" t="str">
        <f aca="false">IF($V282="","",MAX(IF($W281="",'Empieza aquí'!$D$8,$W281),$V282))</f>
        <v/>
      </c>
      <c r="X282" s="47" t="str">
        <f aca="false">IF($V282="","",$V282-$W282)</f>
        <v/>
      </c>
      <c r="Y282" s="3"/>
      <c r="Z282" s="3"/>
      <c r="AA282" s="3"/>
      <c r="AB282" s="3"/>
      <c r="AC282" s="3"/>
      <c r="AD282" s="3"/>
      <c r="AE282" s="3"/>
      <c r="AF282" s="3"/>
      <c r="AG282" s="3"/>
      <c r="AH282" s="3"/>
    </row>
    <row r="283" customFormat="false" ht="15" hidden="false" customHeight="true" outlineLevel="0" collapsed="false">
      <c r="A283" s="2"/>
      <c r="B283" s="36"/>
      <c r="C283" s="37"/>
      <c r="D283" s="37"/>
      <c r="E283" s="38"/>
      <c r="F283" s="39"/>
      <c r="G283" s="40" t="str">
        <f aca="false">IF(OR($E283="",$C283="",$D283=""),"",$E283*$D283*IFERROR(INDEX(Listas!$C$6:$C$20,MATCH($C283,Listas!$B$6:$B$20,0)),0)-$D283*IFERROR(INDEX(Listas!$D$6:$D$20,MATCH($C283,Listas!$B$6:$B$20,0)),0))</f>
        <v/>
      </c>
      <c r="H283" s="41" t="str">
        <f aca="false">IF(OR($F283="",$C283="",$D283=""),"",ABS($F283)*$D283*IFERROR(INDEX(Listas!$C$6:$C$20,MATCH($C283,Listas!$B$6:$B$20,0)),0))</f>
        <v/>
      </c>
      <c r="I283" s="42" t="str">
        <f aca="false">IF(OR($E283="",$F283="",$F283=0),"",$E283/ABS($F283))</f>
        <v/>
      </c>
      <c r="J283" s="43" t="str">
        <f aca="false">IF($B283="","",INDEX(Listas!$G$6:$G$12,WEEKDAY($B283,1)))</f>
        <v/>
      </c>
      <c r="K283" s="43" t="str">
        <f aca="false">IFERROR(IF($L283="","",TEXT(IF($L283&lt;1,HOUR($L283),INT($L283)),"00")&amp;":00"),"")</f>
        <v/>
      </c>
      <c r="L283" s="44"/>
      <c r="M283" s="45"/>
      <c r="N283" s="46"/>
      <c r="O283" s="45"/>
      <c r="P283" s="2"/>
      <c r="Q283" s="2"/>
      <c r="R283" s="2"/>
      <c r="S283" s="2"/>
      <c r="T283" s="2"/>
      <c r="U283" s="47" t="str">
        <f aca="false">IF($G283="","",IF($G283&lt;0,IF(N($U282)=0,1,$U282+1),0))</f>
        <v/>
      </c>
      <c r="V283" s="47" t="str">
        <f aca="false">IF($G283="","",IF($V282="",'Empieza aquí'!$D$8,$V282)+$G283)</f>
        <v/>
      </c>
      <c r="W283" s="47" t="str">
        <f aca="false">IF($V283="","",MAX(IF($W282="",'Empieza aquí'!$D$8,$W282),$V283))</f>
        <v/>
      </c>
      <c r="X283" s="47" t="str">
        <f aca="false">IF($V283="","",$V283-$W283)</f>
        <v/>
      </c>
      <c r="Y283" s="3"/>
      <c r="Z283" s="3"/>
      <c r="AA283" s="3"/>
      <c r="AB283" s="3"/>
      <c r="AC283" s="3"/>
      <c r="AD283" s="3"/>
      <c r="AE283" s="3"/>
      <c r="AF283" s="3"/>
      <c r="AG283" s="3"/>
      <c r="AH283" s="3"/>
    </row>
    <row r="284" customFormat="false" ht="15" hidden="false" customHeight="true" outlineLevel="0" collapsed="false">
      <c r="A284" s="2"/>
      <c r="B284" s="36"/>
      <c r="C284" s="37"/>
      <c r="D284" s="37"/>
      <c r="E284" s="38"/>
      <c r="F284" s="39"/>
      <c r="G284" s="40" t="str">
        <f aca="false">IF(OR($E284="",$C284="",$D284=""),"",$E284*$D284*IFERROR(INDEX(Listas!$C$6:$C$20,MATCH($C284,Listas!$B$6:$B$20,0)),0)-$D284*IFERROR(INDEX(Listas!$D$6:$D$20,MATCH($C284,Listas!$B$6:$B$20,0)),0))</f>
        <v/>
      </c>
      <c r="H284" s="41" t="str">
        <f aca="false">IF(OR($F284="",$C284="",$D284=""),"",ABS($F284)*$D284*IFERROR(INDEX(Listas!$C$6:$C$20,MATCH($C284,Listas!$B$6:$B$20,0)),0))</f>
        <v/>
      </c>
      <c r="I284" s="42" t="str">
        <f aca="false">IF(OR($E284="",$F284="",$F284=0),"",$E284/ABS($F284))</f>
        <v/>
      </c>
      <c r="J284" s="43" t="str">
        <f aca="false">IF($B284="","",INDEX(Listas!$G$6:$G$12,WEEKDAY($B284,1)))</f>
        <v/>
      </c>
      <c r="K284" s="43" t="str">
        <f aca="false">IFERROR(IF($L284="","",TEXT(IF($L284&lt;1,HOUR($L284),INT($L284)),"00")&amp;":00"),"")</f>
        <v/>
      </c>
      <c r="L284" s="44"/>
      <c r="M284" s="45"/>
      <c r="N284" s="46"/>
      <c r="O284" s="45"/>
      <c r="P284" s="2"/>
      <c r="Q284" s="2"/>
      <c r="R284" s="2"/>
      <c r="S284" s="2"/>
      <c r="T284" s="2"/>
      <c r="U284" s="47" t="str">
        <f aca="false">IF($G284="","",IF($G284&lt;0,IF(N($U283)=0,1,$U283+1),0))</f>
        <v/>
      </c>
      <c r="V284" s="47" t="str">
        <f aca="false">IF($G284="","",IF($V283="",'Empieza aquí'!$D$8,$V283)+$G284)</f>
        <v/>
      </c>
      <c r="W284" s="47" t="str">
        <f aca="false">IF($V284="","",MAX(IF($W283="",'Empieza aquí'!$D$8,$W283),$V284))</f>
        <v/>
      </c>
      <c r="X284" s="47" t="str">
        <f aca="false">IF($V284="","",$V284-$W284)</f>
        <v/>
      </c>
      <c r="Y284" s="3"/>
      <c r="Z284" s="3"/>
      <c r="AA284" s="3"/>
      <c r="AB284" s="3"/>
      <c r="AC284" s="3"/>
      <c r="AD284" s="3"/>
      <c r="AE284" s="3"/>
      <c r="AF284" s="3"/>
      <c r="AG284" s="3"/>
      <c r="AH284" s="3"/>
    </row>
    <row r="285" customFormat="false" ht="15" hidden="false" customHeight="true" outlineLevel="0" collapsed="false">
      <c r="A285" s="2"/>
      <c r="B285" s="36"/>
      <c r="C285" s="37"/>
      <c r="D285" s="37"/>
      <c r="E285" s="38"/>
      <c r="F285" s="39"/>
      <c r="G285" s="40" t="str">
        <f aca="false">IF(OR($E285="",$C285="",$D285=""),"",$E285*$D285*IFERROR(INDEX(Listas!$C$6:$C$20,MATCH($C285,Listas!$B$6:$B$20,0)),0)-$D285*IFERROR(INDEX(Listas!$D$6:$D$20,MATCH($C285,Listas!$B$6:$B$20,0)),0))</f>
        <v/>
      </c>
      <c r="H285" s="41" t="str">
        <f aca="false">IF(OR($F285="",$C285="",$D285=""),"",ABS($F285)*$D285*IFERROR(INDEX(Listas!$C$6:$C$20,MATCH($C285,Listas!$B$6:$B$20,0)),0))</f>
        <v/>
      </c>
      <c r="I285" s="42" t="str">
        <f aca="false">IF(OR($E285="",$F285="",$F285=0),"",$E285/ABS($F285))</f>
        <v/>
      </c>
      <c r="J285" s="43" t="str">
        <f aca="false">IF($B285="","",INDEX(Listas!$G$6:$G$12,WEEKDAY($B285,1)))</f>
        <v/>
      </c>
      <c r="K285" s="43" t="str">
        <f aca="false">IFERROR(IF($L285="","",TEXT(IF($L285&lt;1,HOUR($L285),INT($L285)),"00")&amp;":00"),"")</f>
        <v/>
      </c>
      <c r="L285" s="44"/>
      <c r="M285" s="45"/>
      <c r="N285" s="46"/>
      <c r="O285" s="45"/>
      <c r="P285" s="2"/>
      <c r="Q285" s="2"/>
      <c r="R285" s="2"/>
      <c r="S285" s="2"/>
      <c r="T285" s="2"/>
      <c r="U285" s="47" t="str">
        <f aca="false">IF($G285="","",IF($G285&lt;0,IF(N($U284)=0,1,$U284+1),0))</f>
        <v/>
      </c>
      <c r="V285" s="47" t="str">
        <f aca="false">IF($G285="","",IF($V284="",'Empieza aquí'!$D$8,$V284)+$G285)</f>
        <v/>
      </c>
      <c r="W285" s="47" t="str">
        <f aca="false">IF($V285="","",MAX(IF($W284="",'Empieza aquí'!$D$8,$W284),$V285))</f>
        <v/>
      </c>
      <c r="X285" s="47" t="str">
        <f aca="false">IF($V285="","",$V285-$W285)</f>
        <v/>
      </c>
      <c r="Y285" s="3"/>
      <c r="Z285" s="3"/>
      <c r="AA285" s="3"/>
      <c r="AB285" s="3"/>
      <c r="AC285" s="3"/>
      <c r="AD285" s="3"/>
      <c r="AE285" s="3"/>
      <c r="AF285" s="3"/>
      <c r="AG285" s="3"/>
      <c r="AH285" s="3"/>
    </row>
    <row r="286" customFormat="false" ht="15" hidden="false" customHeight="true" outlineLevel="0" collapsed="false">
      <c r="A286" s="2"/>
      <c r="B286" s="36"/>
      <c r="C286" s="37"/>
      <c r="D286" s="37"/>
      <c r="E286" s="38"/>
      <c r="F286" s="39"/>
      <c r="G286" s="40" t="str">
        <f aca="false">IF(OR($E286="",$C286="",$D286=""),"",$E286*$D286*IFERROR(INDEX(Listas!$C$6:$C$20,MATCH($C286,Listas!$B$6:$B$20,0)),0)-$D286*IFERROR(INDEX(Listas!$D$6:$D$20,MATCH($C286,Listas!$B$6:$B$20,0)),0))</f>
        <v/>
      </c>
      <c r="H286" s="41" t="str">
        <f aca="false">IF(OR($F286="",$C286="",$D286=""),"",ABS($F286)*$D286*IFERROR(INDEX(Listas!$C$6:$C$20,MATCH($C286,Listas!$B$6:$B$20,0)),0))</f>
        <v/>
      </c>
      <c r="I286" s="42" t="str">
        <f aca="false">IF(OR($E286="",$F286="",$F286=0),"",$E286/ABS($F286))</f>
        <v/>
      </c>
      <c r="J286" s="43" t="str">
        <f aca="false">IF($B286="","",INDEX(Listas!$G$6:$G$12,WEEKDAY($B286,1)))</f>
        <v/>
      </c>
      <c r="K286" s="43" t="str">
        <f aca="false">IFERROR(IF($L286="","",TEXT(IF($L286&lt;1,HOUR($L286),INT($L286)),"00")&amp;":00"),"")</f>
        <v/>
      </c>
      <c r="L286" s="44"/>
      <c r="M286" s="45"/>
      <c r="N286" s="46"/>
      <c r="O286" s="45"/>
      <c r="P286" s="2"/>
      <c r="Q286" s="2"/>
      <c r="R286" s="2"/>
      <c r="S286" s="2"/>
      <c r="T286" s="2"/>
      <c r="U286" s="47" t="str">
        <f aca="false">IF($G286="","",IF($G286&lt;0,IF(N($U285)=0,1,$U285+1),0))</f>
        <v/>
      </c>
      <c r="V286" s="47" t="str">
        <f aca="false">IF($G286="","",IF($V285="",'Empieza aquí'!$D$8,$V285)+$G286)</f>
        <v/>
      </c>
      <c r="W286" s="47" t="str">
        <f aca="false">IF($V286="","",MAX(IF($W285="",'Empieza aquí'!$D$8,$W285),$V286))</f>
        <v/>
      </c>
      <c r="X286" s="47" t="str">
        <f aca="false">IF($V286="","",$V286-$W286)</f>
        <v/>
      </c>
      <c r="Y286" s="3"/>
      <c r="Z286" s="3"/>
      <c r="AA286" s="3"/>
      <c r="AB286" s="3"/>
      <c r="AC286" s="3"/>
      <c r="AD286" s="3"/>
      <c r="AE286" s="3"/>
      <c r="AF286" s="3"/>
      <c r="AG286" s="3"/>
      <c r="AH286" s="3"/>
    </row>
    <row r="287" customFormat="false" ht="15" hidden="false" customHeight="true" outlineLevel="0" collapsed="false">
      <c r="A287" s="2"/>
      <c r="B287" s="36"/>
      <c r="C287" s="37"/>
      <c r="D287" s="37"/>
      <c r="E287" s="38"/>
      <c r="F287" s="39"/>
      <c r="G287" s="40" t="str">
        <f aca="false">IF(OR($E287="",$C287="",$D287=""),"",$E287*$D287*IFERROR(INDEX(Listas!$C$6:$C$20,MATCH($C287,Listas!$B$6:$B$20,0)),0)-$D287*IFERROR(INDEX(Listas!$D$6:$D$20,MATCH($C287,Listas!$B$6:$B$20,0)),0))</f>
        <v/>
      </c>
      <c r="H287" s="41" t="str">
        <f aca="false">IF(OR($F287="",$C287="",$D287=""),"",ABS($F287)*$D287*IFERROR(INDEX(Listas!$C$6:$C$20,MATCH($C287,Listas!$B$6:$B$20,0)),0))</f>
        <v/>
      </c>
      <c r="I287" s="42" t="str">
        <f aca="false">IF(OR($E287="",$F287="",$F287=0),"",$E287/ABS($F287))</f>
        <v/>
      </c>
      <c r="J287" s="43" t="str">
        <f aca="false">IF($B287="","",INDEX(Listas!$G$6:$G$12,WEEKDAY($B287,1)))</f>
        <v/>
      </c>
      <c r="K287" s="43" t="str">
        <f aca="false">IFERROR(IF($L287="","",TEXT(IF($L287&lt;1,HOUR($L287),INT($L287)),"00")&amp;":00"),"")</f>
        <v/>
      </c>
      <c r="L287" s="44"/>
      <c r="M287" s="45"/>
      <c r="N287" s="46"/>
      <c r="O287" s="45"/>
      <c r="P287" s="2"/>
      <c r="Q287" s="2"/>
      <c r="R287" s="2"/>
      <c r="S287" s="2"/>
      <c r="T287" s="2"/>
      <c r="U287" s="47" t="str">
        <f aca="false">IF($G287="","",IF($G287&lt;0,IF(N($U286)=0,1,$U286+1),0))</f>
        <v/>
      </c>
      <c r="V287" s="47" t="str">
        <f aca="false">IF($G287="","",IF($V286="",'Empieza aquí'!$D$8,$V286)+$G287)</f>
        <v/>
      </c>
      <c r="W287" s="47" t="str">
        <f aca="false">IF($V287="","",MAX(IF($W286="",'Empieza aquí'!$D$8,$W286),$V287))</f>
        <v/>
      </c>
      <c r="X287" s="47" t="str">
        <f aca="false">IF($V287="","",$V287-$W287)</f>
        <v/>
      </c>
      <c r="Y287" s="3"/>
      <c r="Z287" s="3"/>
      <c r="AA287" s="3"/>
      <c r="AB287" s="3"/>
      <c r="AC287" s="3"/>
      <c r="AD287" s="3"/>
      <c r="AE287" s="3"/>
      <c r="AF287" s="3"/>
      <c r="AG287" s="3"/>
      <c r="AH287" s="3"/>
    </row>
    <row r="288" customFormat="false" ht="15" hidden="false" customHeight="true" outlineLevel="0" collapsed="false">
      <c r="A288" s="2"/>
      <c r="B288" s="36"/>
      <c r="C288" s="37"/>
      <c r="D288" s="37"/>
      <c r="E288" s="38"/>
      <c r="F288" s="39"/>
      <c r="G288" s="40" t="str">
        <f aca="false">IF(OR($E288="",$C288="",$D288=""),"",$E288*$D288*IFERROR(INDEX(Listas!$C$6:$C$20,MATCH($C288,Listas!$B$6:$B$20,0)),0)-$D288*IFERROR(INDEX(Listas!$D$6:$D$20,MATCH($C288,Listas!$B$6:$B$20,0)),0))</f>
        <v/>
      </c>
      <c r="H288" s="41" t="str">
        <f aca="false">IF(OR($F288="",$C288="",$D288=""),"",ABS($F288)*$D288*IFERROR(INDEX(Listas!$C$6:$C$20,MATCH($C288,Listas!$B$6:$B$20,0)),0))</f>
        <v/>
      </c>
      <c r="I288" s="42" t="str">
        <f aca="false">IF(OR($E288="",$F288="",$F288=0),"",$E288/ABS($F288))</f>
        <v/>
      </c>
      <c r="J288" s="43" t="str">
        <f aca="false">IF($B288="","",INDEX(Listas!$G$6:$G$12,WEEKDAY($B288,1)))</f>
        <v/>
      </c>
      <c r="K288" s="43" t="str">
        <f aca="false">IFERROR(IF($L288="","",TEXT(IF($L288&lt;1,HOUR($L288),INT($L288)),"00")&amp;":00"),"")</f>
        <v/>
      </c>
      <c r="L288" s="44"/>
      <c r="M288" s="45"/>
      <c r="N288" s="46"/>
      <c r="O288" s="45"/>
      <c r="P288" s="2"/>
      <c r="Q288" s="2"/>
      <c r="R288" s="2"/>
      <c r="S288" s="2"/>
      <c r="T288" s="2"/>
      <c r="U288" s="47" t="str">
        <f aca="false">IF($G288="","",IF($G288&lt;0,IF(N($U287)=0,1,$U287+1),0))</f>
        <v/>
      </c>
      <c r="V288" s="47" t="str">
        <f aca="false">IF($G288="","",IF($V287="",'Empieza aquí'!$D$8,$V287)+$G288)</f>
        <v/>
      </c>
      <c r="W288" s="47" t="str">
        <f aca="false">IF($V288="","",MAX(IF($W287="",'Empieza aquí'!$D$8,$W287),$V288))</f>
        <v/>
      </c>
      <c r="X288" s="47" t="str">
        <f aca="false">IF($V288="","",$V288-$W288)</f>
        <v/>
      </c>
      <c r="Y288" s="3"/>
      <c r="Z288" s="3"/>
      <c r="AA288" s="3"/>
      <c r="AB288" s="3"/>
      <c r="AC288" s="3"/>
      <c r="AD288" s="3"/>
      <c r="AE288" s="3"/>
      <c r="AF288" s="3"/>
      <c r="AG288" s="3"/>
      <c r="AH288" s="3"/>
    </row>
    <row r="289" customFormat="false" ht="15" hidden="false" customHeight="true" outlineLevel="0" collapsed="false">
      <c r="A289" s="2"/>
      <c r="B289" s="36"/>
      <c r="C289" s="37"/>
      <c r="D289" s="37"/>
      <c r="E289" s="38"/>
      <c r="F289" s="39"/>
      <c r="G289" s="40" t="str">
        <f aca="false">IF(OR($E289="",$C289="",$D289=""),"",$E289*$D289*IFERROR(INDEX(Listas!$C$6:$C$20,MATCH($C289,Listas!$B$6:$B$20,0)),0)-$D289*IFERROR(INDEX(Listas!$D$6:$D$20,MATCH($C289,Listas!$B$6:$B$20,0)),0))</f>
        <v/>
      </c>
      <c r="H289" s="41" t="str">
        <f aca="false">IF(OR($F289="",$C289="",$D289=""),"",ABS($F289)*$D289*IFERROR(INDEX(Listas!$C$6:$C$20,MATCH($C289,Listas!$B$6:$B$20,0)),0))</f>
        <v/>
      </c>
      <c r="I289" s="42" t="str">
        <f aca="false">IF(OR($E289="",$F289="",$F289=0),"",$E289/ABS($F289))</f>
        <v/>
      </c>
      <c r="J289" s="43" t="str">
        <f aca="false">IF($B289="","",INDEX(Listas!$G$6:$G$12,WEEKDAY($B289,1)))</f>
        <v/>
      </c>
      <c r="K289" s="43" t="str">
        <f aca="false">IFERROR(IF($L289="","",TEXT(IF($L289&lt;1,HOUR($L289),INT($L289)),"00")&amp;":00"),"")</f>
        <v/>
      </c>
      <c r="L289" s="44"/>
      <c r="M289" s="45"/>
      <c r="N289" s="46"/>
      <c r="O289" s="45"/>
      <c r="P289" s="2"/>
      <c r="Q289" s="2"/>
      <c r="R289" s="2"/>
      <c r="S289" s="2"/>
      <c r="T289" s="2"/>
      <c r="U289" s="47" t="str">
        <f aca="false">IF($G289="","",IF($G289&lt;0,IF(N($U288)=0,1,$U288+1),0))</f>
        <v/>
      </c>
      <c r="V289" s="47" t="str">
        <f aca="false">IF($G289="","",IF($V288="",'Empieza aquí'!$D$8,$V288)+$G289)</f>
        <v/>
      </c>
      <c r="W289" s="47" t="str">
        <f aca="false">IF($V289="","",MAX(IF($W288="",'Empieza aquí'!$D$8,$W288),$V289))</f>
        <v/>
      </c>
      <c r="X289" s="47" t="str">
        <f aca="false">IF($V289="","",$V289-$W289)</f>
        <v/>
      </c>
      <c r="Y289" s="3"/>
      <c r="Z289" s="3"/>
      <c r="AA289" s="3"/>
      <c r="AB289" s="3"/>
      <c r="AC289" s="3"/>
      <c r="AD289" s="3"/>
      <c r="AE289" s="3"/>
      <c r="AF289" s="3"/>
      <c r="AG289" s="3"/>
      <c r="AH289" s="3"/>
    </row>
    <row r="290" customFormat="false" ht="15" hidden="false" customHeight="true" outlineLevel="0" collapsed="false">
      <c r="A290" s="2"/>
      <c r="B290" s="36"/>
      <c r="C290" s="37"/>
      <c r="D290" s="37"/>
      <c r="E290" s="38"/>
      <c r="F290" s="39"/>
      <c r="G290" s="40" t="str">
        <f aca="false">IF(OR($E290="",$C290="",$D290=""),"",$E290*$D290*IFERROR(INDEX(Listas!$C$6:$C$20,MATCH($C290,Listas!$B$6:$B$20,0)),0)-$D290*IFERROR(INDEX(Listas!$D$6:$D$20,MATCH($C290,Listas!$B$6:$B$20,0)),0))</f>
        <v/>
      </c>
      <c r="H290" s="41" t="str">
        <f aca="false">IF(OR($F290="",$C290="",$D290=""),"",ABS($F290)*$D290*IFERROR(INDEX(Listas!$C$6:$C$20,MATCH($C290,Listas!$B$6:$B$20,0)),0))</f>
        <v/>
      </c>
      <c r="I290" s="42" t="str">
        <f aca="false">IF(OR($E290="",$F290="",$F290=0),"",$E290/ABS($F290))</f>
        <v/>
      </c>
      <c r="J290" s="43" t="str">
        <f aca="false">IF($B290="","",INDEX(Listas!$G$6:$G$12,WEEKDAY($B290,1)))</f>
        <v/>
      </c>
      <c r="K290" s="43" t="str">
        <f aca="false">IFERROR(IF($L290="","",TEXT(IF($L290&lt;1,HOUR($L290),INT($L290)),"00")&amp;":00"),"")</f>
        <v/>
      </c>
      <c r="L290" s="44"/>
      <c r="M290" s="45"/>
      <c r="N290" s="46"/>
      <c r="O290" s="45"/>
      <c r="P290" s="2"/>
      <c r="Q290" s="2"/>
      <c r="R290" s="2"/>
      <c r="S290" s="2"/>
      <c r="T290" s="2"/>
      <c r="U290" s="47" t="str">
        <f aca="false">IF($G290="","",IF($G290&lt;0,IF(N($U289)=0,1,$U289+1),0))</f>
        <v/>
      </c>
      <c r="V290" s="47" t="str">
        <f aca="false">IF($G290="","",IF($V289="",'Empieza aquí'!$D$8,$V289)+$G290)</f>
        <v/>
      </c>
      <c r="W290" s="47" t="str">
        <f aca="false">IF($V290="","",MAX(IF($W289="",'Empieza aquí'!$D$8,$W289),$V290))</f>
        <v/>
      </c>
      <c r="X290" s="47" t="str">
        <f aca="false">IF($V290="","",$V290-$W290)</f>
        <v/>
      </c>
      <c r="Y290" s="3"/>
      <c r="Z290" s="3"/>
      <c r="AA290" s="3"/>
      <c r="AB290" s="3"/>
      <c r="AC290" s="3"/>
      <c r="AD290" s="3"/>
      <c r="AE290" s="3"/>
      <c r="AF290" s="3"/>
      <c r="AG290" s="3"/>
      <c r="AH290" s="3"/>
    </row>
    <row r="291" customFormat="false" ht="15" hidden="false" customHeight="true" outlineLevel="0" collapsed="false">
      <c r="A291" s="2"/>
      <c r="B291" s="36"/>
      <c r="C291" s="37"/>
      <c r="D291" s="37"/>
      <c r="E291" s="38"/>
      <c r="F291" s="39"/>
      <c r="G291" s="40" t="str">
        <f aca="false">IF(OR($E291="",$C291="",$D291=""),"",$E291*$D291*IFERROR(INDEX(Listas!$C$6:$C$20,MATCH($C291,Listas!$B$6:$B$20,0)),0)-$D291*IFERROR(INDEX(Listas!$D$6:$D$20,MATCH($C291,Listas!$B$6:$B$20,0)),0))</f>
        <v/>
      </c>
      <c r="H291" s="41" t="str">
        <f aca="false">IF(OR($F291="",$C291="",$D291=""),"",ABS($F291)*$D291*IFERROR(INDEX(Listas!$C$6:$C$20,MATCH($C291,Listas!$B$6:$B$20,0)),0))</f>
        <v/>
      </c>
      <c r="I291" s="42" t="str">
        <f aca="false">IF(OR($E291="",$F291="",$F291=0),"",$E291/ABS($F291))</f>
        <v/>
      </c>
      <c r="J291" s="43" t="str">
        <f aca="false">IF($B291="","",INDEX(Listas!$G$6:$G$12,WEEKDAY($B291,1)))</f>
        <v/>
      </c>
      <c r="K291" s="43" t="str">
        <f aca="false">IFERROR(IF($L291="","",TEXT(IF($L291&lt;1,HOUR($L291),INT($L291)),"00")&amp;":00"),"")</f>
        <v/>
      </c>
      <c r="L291" s="44"/>
      <c r="M291" s="45"/>
      <c r="N291" s="46"/>
      <c r="O291" s="45"/>
      <c r="P291" s="2"/>
      <c r="Q291" s="2"/>
      <c r="R291" s="2"/>
      <c r="S291" s="2"/>
      <c r="T291" s="2"/>
      <c r="U291" s="47" t="str">
        <f aca="false">IF($G291="","",IF($G291&lt;0,IF(N($U290)=0,1,$U290+1),0))</f>
        <v/>
      </c>
      <c r="V291" s="47" t="str">
        <f aca="false">IF($G291="","",IF($V290="",'Empieza aquí'!$D$8,$V290)+$G291)</f>
        <v/>
      </c>
      <c r="W291" s="47" t="str">
        <f aca="false">IF($V291="","",MAX(IF($W290="",'Empieza aquí'!$D$8,$W290),$V291))</f>
        <v/>
      </c>
      <c r="X291" s="47" t="str">
        <f aca="false">IF($V291="","",$V291-$W291)</f>
        <v/>
      </c>
      <c r="Y291" s="3"/>
      <c r="Z291" s="3"/>
      <c r="AA291" s="3"/>
      <c r="AB291" s="3"/>
      <c r="AC291" s="3"/>
      <c r="AD291" s="3"/>
      <c r="AE291" s="3"/>
      <c r="AF291" s="3"/>
      <c r="AG291" s="3"/>
      <c r="AH291" s="3"/>
    </row>
    <row r="292" customFormat="false" ht="15" hidden="false" customHeight="true" outlineLevel="0" collapsed="false">
      <c r="A292" s="2"/>
      <c r="B292" s="36"/>
      <c r="C292" s="37"/>
      <c r="D292" s="37"/>
      <c r="E292" s="38"/>
      <c r="F292" s="39"/>
      <c r="G292" s="40" t="str">
        <f aca="false">IF(OR($E292="",$C292="",$D292=""),"",$E292*$D292*IFERROR(INDEX(Listas!$C$6:$C$20,MATCH($C292,Listas!$B$6:$B$20,0)),0)-$D292*IFERROR(INDEX(Listas!$D$6:$D$20,MATCH($C292,Listas!$B$6:$B$20,0)),0))</f>
        <v/>
      </c>
      <c r="H292" s="41" t="str">
        <f aca="false">IF(OR($F292="",$C292="",$D292=""),"",ABS($F292)*$D292*IFERROR(INDEX(Listas!$C$6:$C$20,MATCH($C292,Listas!$B$6:$B$20,0)),0))</f>
        <v/>
      </c>
      <c r="I292" s="42" t="str">
        <f aca="false">IF(OR($E292="",$F292="",$F292=0),"",$E292/ABS($F292))</f>
        <v/>
      </c>
      <c r="J292" s="43" t="str">
        <f aca="false">IF($B292="","",INDEX(Listas!$G$6:$G$12,WEEKDAY($B292,1)))</f>
        <v/>
      </c>
      <c r="K292" s="43" t="str">
        <f aca="false">IFERROR(IF($L292="","",TEXT(IF($L292&lt;1,HOUR($L292),INT($L292)),"00")&amp;":00"),"")</f>
        <v/>
      </c>
      <c r="L292" s="44"/>
      <c r="M292" s="45"/>
      <c r="N292" s="46"/>
      <c r="O292" s="45"/>
      <c r="P292" s="2"/>
      <c r="Q292" s="2"/>
      <c r="R292" s="2"/>
      <c r="S292" s="2"/>
      <c r="T292" s="2"/>
      <c r="U292" s="47" t="str">
        <f aca="false">IF($G292="","",IF($G292&lt;0,IF(N($U291)=0,1,$U291+1),0))</f>
        <v/>
      </c>
      <c r="V292" s="47" t="str">
        <f aca="false">IF($G292="","",IF($V291="",'Empieza aquí'!$D$8,$V291)+$G292)</f>
        <v/>
      </c>
      <c r="W292" s="47" t="str">
        <f aca="false">IF($V292="","",MAX(IF($W291="",'Empieza aquí'!$D$8,$W291),$V292))</f>
        <v/>
      </c>
      <c r="X292" s="47" t="str">
        <f aca="false">IF($V292="","",$V292-$W292)</f>
        <v/>
      </c>
      <c r="Y292" s="3"/>
      <c r="Z292" s="3"/>
      <c r="AA292" s="3"/>
      <c r="AB292" s="3"/>
      <c r="AC292" s="3"/>
      <c r="AD292" s="3"/>
      <c r="AE292" s="3"/>
      <c r="AF292" s="3"/>
      <c r="AG292" s="3"/>
      <c r="AH292" s="3"/>
    </row>
    <row r="293" customFormat="false" ht="15" hidden="false" customHeight="true" outlineLevel="0" collapsed="false">
      <c r="A293" s="2"/>
      <c r="B293" s="36"/>
      <c r="C293" s="37"/>
      <c r="D293" s="37"/>
      <c r="E293" s="38"/>
      <c r="F293" s="39"/>
      <c r="G293" s="40" t="str">
        <f aca="false">IF(OR($E293="",$C293="",$D293=""),"",$E293*$D293*IFERROR(INDEX(Listas!$C$6:$C$20,MATCH($C293,Listas!$B$6:$B$20,0)),0)-$D293*IFERROR(INDEX(Listas!$D$6:$D$20,MATCH($C293,Listas!$B$6:$B$20,0)),0))</f>
        <v/>
      </c>
      <c r="H293" s="41" t="str">
        <f aca="false">IF(OR($F293="",$C293="",$D293=""),"",ABS($F293)*$D293*IFERROR(INDEX(Listas!$C$6:$C$20,MATCH($C293,Listas!$B$6:$B$20,0)),0))</f>
        <v/>
      </c>
      <c r="I293" s="42" t="str">
        <f aca="false">IF(OR($E293="",$F293="",$F293=0),"",$E293/ABS($F293))</f>
        <v/>
      </c>
      <c r="J293" s="43" t="str">
        <f aca="false">IF($B293="","",INDEX(Listas!$G$6:$G$12,WEEKDAY($B293,1)))</f>
        <v/>
      </c>
      <c r="K293" s="43" t="str">
        <f aca="false">IFERROR(IF($L293="","",TEXT(IF($L293&lt;1,HOUR($L293),INT($L293)),"00")&amp;":00"),"")</f>
        <v/>
      </c>
      <c r="L293" s="44"/>
      <c r="M293" s="45"/>
      <c r="N293" s="46"/>
      <c r="O293" s="45"/>
      <c r="P293" s="2"/>
      <c r="Q293" s="2"/>
      <c r="R293" s="2"/>
      <c r="S293" s="2"/>
      <c r="T293" s="2"/>
      <c r="U293" s="47" t="str">
        <f aca="false">IF($G293="","",IF($G293&lt;0,IF(N($U292)=0,1,$U292+1),0))</f>
        <v/>
      </c>
      <c r="V293" s="47" t="str">
        <f aca="false">IF($G293="","",IF($V292="",'Empieza aquí'!$D$8,$V292)+$G293)</f>
        <v/>
      </c>
      <c r="W293" s="47" t="str">
        <f aca="false">IF($V293="","",MAX(IF($W292="",'Empieza aquí'!$D$8,$W292),$V293))</f>
        <v/>
      </c>
      <c r="X293" s="47" t="str">
        <f aca="false">IF($V293="","",$V293-$W293)</f>
        <v/>
      </c>
      <c r="Y293" s="3"/>
      <c r="Z293" s="3"/>
      <c r="AA293" s="3"/>
      <c r="AB293" s="3"/>
      <c r="AC293" s="3"/>
      <c r="AD293" s="3"/>
      <c r="AE293" s="3"/>
      <c r="AF293" s="3"/>
      <c r="AG293" s="3"/>
      <c r="AH293" s="3"/>
    </row>
    <row r="294" customFormat="false" ht="15" hidden="false" customHeight="true" outlineLevel="0" collapsed="false">
      <c r="A294" s="2"/>
      <c r="B294" s="36"/>
      <c r="C294" s="37"/>
      <c r="D294" s="37"/>
      <c r="E294" s="38"/>
      <c r="F294" s="39"/>
      <c r="G294" s="40" t="str">
        <f aca="false">IF(OR($E294="",$C294="",$D294=""),"",$E294*$D294*IFERROR(INDEX(Listas!$C$6:$C$20,MATCH($C294,Listas!$B$6:$B$20,0)),0)-$D294*IFERROR(INDEX(Listas!$D$6:$D$20,MATCH($C294,Listas!$B$6:$B$20,0)),0))</f>
        <v/>
      </c>
      <c r="H294" s="41" t="str">
        <f aca="false">IF(OR($F294="",$C294="",$D294=""),"",ABS($F294)*$D294*IFERROR(INDEX(Listas!$C$6:$C$20,MATCH($C294,Listas!$B$6:$B$20,0)),0))</f>
        <v/>
      </c>
      <c r="I294" s="42" t="str">
        <f aca="false">IF(OR($E294="",$F294="",$F294=0),"",$E294/ABS($F294))</f>
        <v/>
      </c>
      <c r="J294" s="43" t="str">
        <f aca="false">IF($B294="","",INDEX(Listas!$G$6:$G$12,WEEKDAY($B294,1)))</f>
        <v/>
      </c>
      <c r="K294" s="43" t="str">
        <f aca="false">IFERROR(IF($L294="","",TEXT(IF($L294&lt;1,HOUR($L294),INT($L294)),"00")&amp;":00"),"")</f>
        <v/>
      </c>
      <c r="L294" s="44"/>
      <c r="M294" s="45"/>
      <c r="N294" s="46"/>
      <c r="O294" s="45"/>
      <c r="P294" s="2"/>
      <c r="Q294" s="2"/>
      <c r="R294" s="2"/>
      <c r="S294" s="2"/>
      <c r="T294" s="2"/>
      <c r="U294" s="47" t="str">
        <f aca="false">IF($G294="","",IF($G294&lt;0,IF(N($U293)=0,1,$U293+1),0))</f>
        <v/>
      </c>
      <c r="V294" s="47" t="str">
        <f aca="false">IF($G294="","",IF($V293="",'Empieza aquí'!$D$8,$V293)+$G294)</f>
        <v/>
      </c>
      <c r="W294" s="47" t="str">
        <f aca="false">IF($V294="","",MAX(IF($W293="",'Empieza aquí'!$D$8,$W293),$V294))</f>
        <v/>
      </c>
      <c r="X294" s="47" t="str">
        <f aca="false">IF($V294="","",$V294-$W294)</f>
        <v/>
      </c>
      <c r="Y294" s="3"/>
      <c r="Z294" s="3"/>
      <c r="AA294" s="3"/>
      <c r="AB294" s="3"/>
      <c r="AC294" s="3"/>
      <c r="AD294" s="3"/>
      <c r="AE294" s="3"/>
      <c r="AF294" s="3"/>
      <c r="AG294" s="3"/>
      <c r="AH294" s="3"/>
    </row>
    <row r="295" customFormat="false" ht="15" hidden="false" customHeight="true" outlineLevel="0" collapsed="false">
      <c r="A295" s="2"/>
      <c r="B295" s="36"/>
      <c r="C295" s="37"/>
      <c r="D295" s="37"/>
      <c r="E295" s="38"/>
      <c r="F295" s="39"/>
      <c r="G295" s="40" t="str">
        <f aca="false">IF(OR($E295="",$C295="",$D295=""),"",$E295*$D295*IFERROR(INDEX(Listas!$C$6:$C$20,MATCH($C295,Listas!$B$6:$B$20,0)),0)-$D295*IFERROR(INDEX(Listas!$D$6:$D$20,MATCH($C295,Listas!$B$6:$B$20,0)),0))</f>
        <v/>
      </c>
      <c r="H295" s="41" t="str">
        <f aca="false">IF(OR($F295="",$C295="",$D295=""),"",ABS($F295)*$D295*IFERROR(INDEX(Listas!$C$6:$C$20,MATCH($C295,Listas!$B$6:$B$20,0)),0))</f>
        <v/>
      </c>
      <c r="I295" s="42" t="str">
        <f aca="false">IF(OR($E295="",$F295="",$F295=0),"",$E295/ABS($F295))</f>
        <v/>
      </c>
      <c r="J295" s="43" t="str">
        <f aca="false">IF($B295="","",INDEX(Listas!$G$6:$G$12,WEEKDAY($B295,1)))</f>
        <v/>
      </c>
      <c r="K295" s="43" t="str">
        <f aca="false">IFERROR(IF($L295="","",TEXT(IF($L295&lt;1,HOUR($L295),INT($L295)),"00")&amp;":00"),"")</f>
        <v/>
      </c>
      <c r="L295" s="44"/>
      <c r="M295" s="45"/>
      <c r="N295" s="46"/>
      <c r="O295" s="45"/>
      <c r="P295" s="2"/>
      <c r="Q295" s="2"/>
      <c r="R295" s="2"/>
      <c r="S295" s="2"/>
      <c r="T295" s="2"/>
      <c r="U295" s="47" t="str">
        <f aca="false">IF($G295="","",IF($G295&lt;0,IF(N($U294)=0,1,$U294+1),0))</f>
        <v/>
      </c>
      <c r="V295" s="47" t="str">
        <f aca="false">IF($G295="","",IF($V294="",'Empieza aquí'!$D$8,$V294)+$G295)</f>
        <v/>
      </c>
      <c r="W295" s="47" t="str">
        <f aca="false">IF($V295="","",MAX(IF($W294="",'Empieza aquí'!$D$8,$W294),$V295))</f>
        <v/>
      </c>
      <c r="X295" s="47" t="str">
        <f aca="false">IF($V295="","",$V295-$W295)</f>
        <v/>
      </c>
      <c r="Y295" s="3"/>
      <c r="Z295" s="3"/>
      <c r="AA295" s="3"/>
      <c r="AB295" s="3"/>
      <c r="AC295" s="3"/>
      <c r="AD295" s="3"/>
      <c r="AE295" s="3"/>
      <c r="AF295" s="3"/>
      <c r="AG295" s="3"/>
      <c r="AH295" s="3"/>
    </row>
    <row r="296" customFormat="false" ht="15" hidden="false" customHeight="true" outlineLevel="0" collapsed="false">
      <c r="A296" s="2"/>
      <c r="B296" s="36"/>
      <c r="C296" s="37"/>
      <c r="D296" s="37"/>
      <c r="E296" s="38"/>
      <c r="F296" s="39"/>
      <c r="G296" s="40" t="str">
        <f aca="false">IF(OR($E296="",$C296="",$D296=""),"",$E296*$D296*IFERROR(INDEX(Listas!$C$6:$C$20,MATCH($C296,Listas!$B$6:$B$20,0)),0)-$D296*IFERROR(INDEX(Listas!$D$6:$D$20,MATCH($C296,Listas!$B$6:$B$20,0)),0))</f>
        <v/>
      </c>
      <c r="H296" s="41" t="str">
        <f aca="false">IF(OR($F296="",$C296="",$D296=""),"",ABS($F296)*$D296*IFERROR(INDEX(Listas!$C$6:$C$20,MATCH($C296,Listas!$B$6:$B$20,0)),0))</f>
        <v/>
      </c>
      <c r="I296" s="42" t="str">
        <f aca="false">IF(OR($E296="",$F296="",$F296=0),"",$E296/ABS($F296))</f>
        <v/>
      </c>
      <c r="J296" s="43" t="str">
        <f aca="false">IF($B296="","",INDEX(Listas!$G$6:$G$12,WEEKDAY($B296,1)))</f>
        <v/>
      </c>
      <c r="K296" s="43" t="str">
        <f aca="false">IFERROR(IF($L296="","",TEXT(IF($L296&lt;1,HOUR($L296),INT($L296)),"00")&amp;":00"),"")</f>
        <v/>
      </c>
      <c r="L296" s="44"/>
      <c r="M296" s="45"/>
      <c r="N296" s="46"/>
      <c r="O296" s="45"/>
      <c r="P296" s="2"/>
      <c r="Q296" s="2"/>
      <c r="R296" s="2"/>
      <c r="S296" s="2"/>
      <c r="T296" s="2"/>
      <c r="U296" s="47" t="str">
        <f aca="false">IF($G296="","",IF($G296&lt;0,IF(N($U295)=0,1,$U295+1),0))</f>
        <v/>
      </c>
      <c r="V296" s="47" t="str">
        <f aca="false">IF($G296="","",IF($V295="",'Empieza aquí'!$D$8,$V295)+$G296)</f>
        <v/>
      </c>
      <c r="W296" s="47" t="str">
        <f aca="false">IF($V296="","",MAX(IF($W295="",'Empieza aquí'!$D$8,$W295),$V296))</f>
        <v/>
      </c>
      <c r="X296" s="47" t="str">
        <f aca="false">IF($V296="","",$V296-$W296)</f>
        <v/>
      </c>
      <c r="Y296" s="3"/>
      <c r="Z296" s="3"/>
      <c r="AA296" s="3"/>
      <c r="AB296" s="3"/>
      <c r="AC296" s="3"/>
      <c r="AD296" s="3"/>
      <c r="AE296" s="3"/>
      <c r="AF296" s="3"/>
      <c r="AG296" s="3"/>
      <c r="AH296" s="3"/>
    </row>
    <row r="297" customFormat="false" ht="15" hidden="false" customHeight="true" outlineLevel="0" collapsed="false">
      <c r="A297" s="2"/>
      <c r="B297" s="36"/>
      <c r="C297" s="37"/>
      <c r="D297" s="37"/>
      <c r="E297" s="38"/>
      <c r="F297" s="39"/>
      <c r="G297" s="40" t="str">
        <f aca="false">IF(OR($E297="",$C297="",$D297=""),"",$E297*$D297*IFERROR(INDEX(Listas!$C$6:$C$20,MATCH($C297,Listas!$B$6:$B$20,0)),0)-$D297*IFERROR(INDEX(Listas!$D$6:$D$20,MATCH($C297,Listas!$B$6:$B$20,0)),0))</f>
        <v/>
      </c>
      <c r="H297" s="41" t="str">
        <f aca="false">IF(OR($F297="",$C297="",$D297=""),"",ABS($F297)*$D297*IFERROR(INDEX(Listas!$C$6:$C$20,MATCH($C297,Listas!$B$6:$B$20,0)),0))</f>
        <v/>
      </c>
      <c r="I297" s="42" t="str">
        <f aca="false">IF(OR($E297="",$F297="",$F297=0),"",$E297/ABS($F297))</f>
        <v/>
      </c>
      <c r="J297" s="43" t="str">
        <f aca="false">IF($B297="","",INDEX(Listas!$G$6:$G$12,WEEKDAY($B297,1)))</f>
        <v/>
      </c>
      <c r="K297" s="43" t="str">
        <f aca="false">IFERROR(IF($L297="","",TEXT(IF($L297&lt;1,HOUR($L297),INT($L297)),"00")&amp;":00"),"")</f>
        <v/>
      </c>
      <c r="L297" s="44"/>
      <c r="M297" s="45"/>
      <c r="N297" s="46"/>
      <c r="O297" s="45"/>
      <c r="P297" s="2"/>
      <c r="Q297" s="2"/>
      <c r="R297" s="2"/>
      <c r="S297" s="2"/>
      <c r="T297" s="2"/>
      <c r="U297" s="47" t="str">
        <f aca="false">IF($G297="","",IF($G297&lt;0,IF(N($U296)=0,1,$U296+1),0))</f>
        <v/>
      </c>
      <c r="V297" s="47" t="str">
        <f aca="false">IF($G297="","",IF($V296="",'Empieza aquí'!$D$8,$V296)+$G297)</f>
        <v/>
      </c>
      <c r="W297" s="47" t="str">
        <f aca="false">IF($V297="","",MAX(IF($W296="",'Empieza aquí'!$D$8,$W296),$V297))</f>
        <v/>
      </c>
      <c r="X297" s="47" t="str">
        <f aca="false">IF($V297="","",$V297-$W297)</f>
        <v/>
      </c>
      <c r="Y297" s="3"/>
      <c r="Z297" s="3"/>
      <c r="AA297" s="3"/>
      <c r="AB297" s="3"/>
      <c r="AC297" s="3"/>
      <c r="AD297" s="3"/>
      <c r="AE297" s="3"/>
      <c r="AF297" s="3"/>
      <c r="AG297" s="3"/>
      <c r="AH297" s="3"/>
    </row>
    <row r="298" customFormat="false" ht="15" hidden="false" customHeight="true" outlineLevel="0" collapsed="false">
      <c r="A298" s="2"/>
      <c r="B298" s="36"/>
      <c r="C298" s="37"/>
      <c r="D298" s="37"/>
      <c r="E298" s="38"/>
      <c r="F298" s="39"/>
      <c r="G298" s="40" t="str">
        <f aca="false">IF(OR($E298="",$C298="",$D298=""),"",$E298*$D298*IFERROR(INDEX(Listas!$C$6:$C$20,MATCH($C298,Listas!$B$6:$B$20,0)),0)-$D298*IFERROR(INDEX(Listas!$D$6:$D$20,MATCH($C298,Listas!$B$6:$B$20,0)),0))</f>
        <v/>
      </c>
      <c r="H298" s="41" t="str">
        <f aca="false">IF(OR($F298="",$C298="",$D298=""),"",ABS($F298)*$D298*IFERROR(INDEX(Listas!$C$6:$C$20,MATCH($C298,Listas!$B$6:$B$20,0)),0))</f>
        <v/>
      </c>
      <c r="I298" s="42" t="str">
        <f aca="false">IF(OR($E298="",$F298="",$F298=0),"",$E298/ABS($F298))</f>
        <v/>
      </c>
      <c r="J298" s="43" t="str">
        <f aca="false">IF($B298="","",INDEX(Listas!$G$6:$G$12,WEEKDAY($B298,1)))</f>
        <v/>
      </c>
      <c r="K298" s="43" t="str">
        <f aca="false">IFERROR(IF($L298="","",TEXT(IF($L298&lt;1,HOUR($L298),INT($L298)),"00")&amp;":00"),"")</f>
        <v/>
      </c>
      <c r="L298" s="44"/>
      <c r="M298" s="45"/>
      <c r="N298" s="46"/>
      <c r="O298" s="45"/>
      <c r="P298" s="2"/>
      <c r="Q298" s="2"/>
      <c r="R298" s="2"/>
      <c r="S298" s="2"/>
      <c r="T298" s="2"/>
      <c r="U298" s="47" t="str">
        <f aca="false">IF($G298="","",IF($G298&lt;0,IF(N($U297)=0,1,$U297+1),0))</f>
        <v/>
      </c>
      <c r="V298" s="47" t="str">
        <f aca="false">IF($G298="","",IF($V297="",'Empieza aquí'!$D$8,$V297)+$G298)</f>
        <v/>
      </c>
      <c r="W298" s="47" t="str">
        <f aca="false">IF($V298="","",MAX(IF($W297="",'Empieza aquí'!$D$8,$W297),$V298))</f>
        <v/>
      </c>
      <c r="X298" s="47" t="str">
        <f aca="false">IF($V298="","",$V298-$W298)</f>
        <v/>
      </c>
      <c r="Y298" s="3"/>
      <c r="Z298" s="3"/>
      <c r="AA298" s="3"/>
      <c r="AB298" s="3"/>
      <c r="AC298" s="3"/>
      <c r="AD298" s="3"/>
      <c r="AE298" s="3"/>
      <c r="AF298" s="3"/>
      <c r="AG298" s="3"/>
      <c r="AH298" s="3"/>
    </row>
    <row r="299" customFormat="false" ht="15" hidden="false" customHeight="true" outlineLevel="0" collapsed="false">
      <c r="A299" s="2"/>
      <c r="B299" s="36"/>
      <c r="C299" s="37"/>
      <c r="D299" s="37"/>
      <c r="E299" s="38"/>
      <c r="F299" s="39"/>
      <c r="G299" s="40" t="str">
        <f aca="false">IF(OR($E299="",$C299="",$D299=""),"",$E299*$D299*IFERROR(INDEX(Listas!$C$6:$C$20,MATCH($C299,Listas!$B$6:$B$20,0)),0)-$D299*IFERROR(INDEX(Listas!$D$6:$D$20,MATCH($C299,Listas!$B$6:$B$20,0)),0))</f>
        <v/>
      </c>
      <c r="H299" s="41" t="str">
        <f aca="false">IF(OR($F299="",$C299="",$D299=""),"",ABS($F299)*$D299*IFERROR(INDEX(Listas!$C$6:$C$20,MATCH($C299,Listas!$B$6:$B$20,0)),0))</f>
        <v/>
      </c>
      <c r="I299" s="42" t="str">
        <f aca="false">IF(OR($E299="",$F299="",$F299=0),"",$E299/ABS($F299))</f>
        <v/>
      </c>
      <c r="J299" s="43" t="str">
        <f aca="false">IF($B299="","",INDEX(Listas!$G$6:$G$12,WEEKDAY($B299,1)))</f>
        <v/>
      </c>
      <c r="K299" s="43" t="str">
        <f aca="false">IFERROR(IF($L299="","",TEXT(IF($L299&lt;1,HOUR($L299),INT($L299)),"00")&amp;":00"),"")</f>
        <v/>
      </c>
      <c r="L299" s="44"/>
      <c r="M299" s="45"/>
      <c r="N299" s="46"/>
      <c r="O299" s="45"/>
      <c r="P299" s="2"/>
      <c r="Q299" s="2"/>
      <c r="R299" s="2"/>
      <c r="S299" s="2"/>
      <c r="T299" s="2"/>
      <c r="U299" s="47" t="str">
        <f aca="false">IF($G299="","",IF($G299&lt;0,IF(N($U298)=0,1,$U298+1),0))</f>
        <v/>
      </c>
      <c r="V299" s="47" t="str">
        <f aca="false">IF($G299="","",IF($V298="",'Empieza aquí'!$D$8,$V298)+$G299)</f>
        <v/>
      </c>
      <c r="W299" s="47" t="str">
        <f aca="false">IF($V299="","",MAX(IF($W298="",'Empieza aquí'!$D$8,$W298),$V299))</f>
        <v/>
      </c>
      <c r="X299" s="47" t="str">
        <f aca="false">IF($V299="","",$V299-$W299)</f>
        <v/>
      </c>
      <c r="Y299" s="3"/>
      <c r="Z299" s="3"/>
      <c r="AA299" s="3"/>
      <c r="AB299" s="3"/>
      <c r="AC299" s="3"/>
      <c r="AD299" s="3"/>
      <c r="AE299" s="3"/>
      <c r="AF299" s="3"/>
      <c r="AG299" s="3"/>
      <c r="AH299" s="3"/>
    </row>
    <row r="300" customFormat="false" ht="15" hidden="false" customHeight="true" outlineLevel="0" collapsed="false">
      <c r="A300" s="2"/>
      <c r="B300" s="36"/>
      <c r="C300" s="37"/>
      <c r="D300" s="37"/>
      <c r="E300" s="38"/>
      <c r="F300" s="39"/>
      <c r="G300" s="40" t="str">
        <f aca="false">IF(OR($E300="",$C300="",$D300=""),"",$E300*$D300*IFERROR(INDEX(Listas!$C$6:$C$20,MATCH($C300,Listas!$B$6:$B$20,0)),0)-$D300*IFERROR(INDEX(Listas!$D$6:$D$20,MATCH($C300,Listas!$B$6:$B$20,0)),0))</f>
        <v/>
      </c>
      <c r="H300" s="41" t="str">
        <f aca="false">IF(OR($F300="",$C300="",$D300=""),"",ABS($F300)*$D300*IFERROR(INDEX(Listas!$C$6:$C$20,MATCH($C300,Listas!$B$6:$B$20,0)),0))</f>
        <v/>
      </c>
      <c r="I300" s="42" t="str">
        <f aca="false">IF(OR($E300="",$F300="",$F300=0),"",$E300/ABS($F300))</f>
        <v/>
      </c>
      <c r="J300" s="43" t="str">
        <f aca="false">IF($B300="","",INDEX(Listas!$G$6:$G$12,WEEKDAY($B300,1)))</f>
        <v/>
      </c>
      <c r="K300" s="43" t="str">
        <f aca="false">IFERROR(IF($L300="","",TEXT(IF($L300&lt;1,HOUR($L300),INT($L300)),"00")&amp;":00"),"")</f>
        <v/>
      </c>
      <c r="L300" s="44"/>
      <c r="M300" s="45"/>
      <c r="N300" s="46"/>
      <c r="O300" s="45"/>
      <c r="P300" s="2"/>
      <c r="Q300" s="2"/>
      <c r="R300" s="2"/>
      <c r="S300" s="2"/>
      <c r="T300" s="2"/>
      <c r="U300" s="47" t="str">
        <f aca="false">IF($G300="","",IF($G300&lt;0,IF(N($U299)=0,1,$U299+1),0))</f>
        <v/>
      </c>
      <c r="V300" s="47" t="str">
        <f aca="false">IF($G300="","",IF($V299="",'Empieza aquí'!$D$8,$V299)+$G300)</f>
        <v/>
      </c>
      <c r="W300" s="47" t="str">
        <f aca="false">IF($V300="","",MAX(IF($W299="",'Empieza aquí'!$D$8,$W299),$V300))</f>
        <v/>
      </c>
      <c r="X300" s="47" t="str">
        <f aca="false">IF($V300="","",$V300-$W300)</f>
        <v/>
      </c>
      <c r="Y300" s="3"/>
      <c r="Z300" s="3"/>
      <c r="AA300" s="3"/>
      <c r="AB300" s="3"/>
      <c r="AC300" s="3"/>
      <c r="AD300" s="3"/>
      <c r="AE300" s="3"/>
      <c r="AF300" s="3"/>
      <c r="AG300" s="3"/>
      <c r="AH300" s="3"/>
    </row>
    <row r="301" customFormat="false" ht="15" hidden="false" customHeight="true" outlineLevel="0" collapsed="false">
      <c r="A301" s="2"/>
      <c r="B301" s="36"/>
      <c r="C301" s="37"/>
      <c r="D301" s="37"/>
      <c r="E301" s="38"/>
      <c r="F301" s="39"/>
      <c r="G301" s="40" t="str">
        <f aca="false">IF(OR($E301="",$C301="",$D301=""),"",$E301*$D301*IFERROR(INDEX(Listas!$C$6:$C$20,MATCH($C301,Listas!$B$6:$B$20,0)),0)-$D301*IFERROR(INDEX(Listas!$D$6:$D$20,MATCH($C301,Listas!$B$6:$B$20,0)),0))</f>
        <v/>
      </c>
      <c r="H301" s="41" t="str">
        <f aca="false">IF(OR($F301="",$C301="",$D301=""),"",ABS($F301)*$D301*IFERROR(INDEX(Listas!$C$6:$C$20,MATCH($C301,Listas!$B$6:$B$20,0)),0))</f>
        <v/>
      </c>
      <c r="I301" s="42" t="str">
        <f aca="false">IF(OR($E301="",$F301="",$F301=0),"",$E301/ABS($F301))</f>
        <v/>
      </c>
      <c r="J301" s="43" t="str">
        <f aca="false">IF($B301="","",INDEX(Listas!$G$6:$G$12,WEEKDAY($B301,1)))</f>
        <v/>
      </c>
      <c r="K301" s="43" t="str">
        <f aca="false">IFERROR(IF($L301="","",TEXT(IF($L301&lt;1,HOUR($L301),INT($L301)),"00")&amp;":00"),"")</f>
        <v/>
      </c>
      <c r="L301" s="44"/>
      <c r="M301" s="45"/>
      <c r="N301" s="46"/>
      <c r="O301" s="45"/>
      <c r="P301" s="2"/>
      <c r="Q301" s="2"/>
      <c r="R301" s="2"/>
      <c r="S301" s="2"/>
      <c r="T301" s="2"/>
      <c r="U301" s="47" t="str">
        <f aca="false">IF($G301="","",IF($G301&lt;0,IF(N($U300)=0,1,$U300+1),0))</f>
        <v/>
      </c>
      <c r="V301" s="47" t="str">
        <f aca="false">IF($G301="","",IF($V300="",'Empieza aquí'!$D$8,$V300)+$G301)</f>
        <v/>
      </c>
      <c r="W301" s="47" t="str">
        <f aca="false">IF($V301="","",MAX(IF($W300="",'Empieza aquí'!$D$8,$W300),$V301))</f>
        <v/>
      </c>
      <c r="X301" s="47" t="str">
        <f aca="false">IF($V301="","",$V301-$W301)</f>
        <v/>
      </c>
      <c r="Y301" s="3"/>
      <c r="Z301" s="3"/>
      <c r="AA301" s="3"/>
      <c r="AB301" s="3"/>
      <c r="AC301" s="3"/>
      <c r="AD301" s="3"/>
      <c r="AE301" s="3"/>
      <c r="AF301" s="3"/>
      <c r="AG301" s="3"/>
      <c r="AH301" s="3"/>
    </row>
    <row r="302" customFormat="false" ht="15" hidden="false" customHeight="true" outlineLevel="0" collapsed="false">
      <c r="A302" s="2"/>
      <c r="B302" s="36"/>
      <c r="C302" s="37"/>
      <c r="D302" s="37"/>
      <c r="E302" s="38"/>
      <c r="F302" s="39"/>
      <c r="G302" s="40" t="str">
        <f aca="false">IF(OR($E302="",$C302="",$D302=""),"",$E302*$D302*IFERROR(INDEX(Listas!$C$6:$C$20,MATCH($C302,Listas!$B$6:$B$20,0)),0)-$D302*IFERROR(INDEX(Listas!$D$6:$D$20,MATCH($C302,Listas!$B$6:$B$20,0)),0))</f>
        <v/>
      </c>
      <c r="H302" s="41" t="str">
        <f aca="false">IF(OR($F302="",$C302="",$D302=""),"",ABS($F302)*$D302*IFERROR(INDEX(Listas!$C$6:$C$20,MATCH($C302,Listas!$B$6:$B$20,0)),0))</f>
        <v/>
      </c>
      <c r="I302" s="42" t="str">
        <f aca="false">IF(OR($E302="",$F302="",$F302=0),"",$E302/ABS($F302))</f>
        <v/>
      </c>
      <c r="J302" s="43" t="str">
        <f aca="false">IF($B302="","",INDEX(Listas!$G$6:$G$12,WEEKDAY($B302,1)))</f>
        <v/>
      </c>
      <c r="K302" s="43" t="str">
        <f aca="false">IFERROR(IF($L302="","",TEXT(IF($L302&lt;1,HOUR($L302),INT($L302)),"00")&amp;":00"),"")</f>
        <v/>
      </c>
      <c r="L302" s="44"/>
      <c r="M302" s="45"/>
      <c r="N302" s="46"/>
      <c r="O302" s="45"/>
      <c r="P302" s="2"/>
      <c r="Q302" s="2"/>
      <c r="R302" s="2"/>
      <c r="S302" s="2"/>
      <c r="T302" s="2"/>
      <c r="U302" s="47" t="str">
        <f aca="false">IF($G302="","",IF($G302&lt;0,IF(N($U301)=0,1,$U301+1),0))</f>
        <v/>
      </c>
      <c r="V302" s="47" t="str">
        <f aca="false">IF($G302="","",IF($V301="",'Empieza aquí'!$D$8,$V301)+$G302)</f>
        <v/>
      </c>
      <c r="W302" s="47" t="str">
        <f aca="false">IF($V302="","",MAX(IF($W301="",'Empieza aquí'!$D$8,$W301),$V302))</f>
        <v/>
      </c>
      <c r="X302" s="47" t="str">
        <f aca="false">IF($V302="","",$V302-$W302)</f>
        <v/>
      </c>
      <c r="Y302" s="3"/>
      <c r="Z302" s="3"/>
      <c r="AA302" s="3"/>
      <c r="AB302" s="3"/>
      <c r="AC302" s="3"/>
      <c r="AD302" s="3"/>
      <c r="AE302" s="3"/>
      <c r="AF302" s="3"/>
      <c r="AG302" s="3"/>
      <c r="AH302" s="3"/>
    </row>
    <row r="303" customFormat="false" ht="15" hidden="false" customHeight="true" outlineLevel="0" collapsed="false">
      <c r="A303" s="2"/>
      <c r="B303" s="36"/>
      <c r="C303" s="37"/>
      <c r="D303" s="37"/>
      <c r="E303" s="38"/>
      <c r="F303" s="39"/>
      <c r="G303" s="40" t="str">
        <f aca="false">IF(OR($E303="",$C303="",$D303=""),"",$E303*$D303*IFERROR(INDEX(Listas!$C$6:$C$20,MATCH($C303,Listas!$B$6:$B$20,0)),0)-$D303*IFERROR(INDEX(Listas!$D$6:$D$20,MATCH($C303,Listas!$B$6:$B$20,0)),0))</f>
        <v/>
      </c>
      <c r="H303" s="41" t="str">
        <f aca="false">IF(OR($F303="",$C303="",$D303=""),"",ABS($F303)*$D303*IFERROR(INDEX(Listas!$C$6:$C$20,MATCH($C303,Listas!$B$6:$B$20,0)),0))</f>
        <v/>
      </c>
      <c r="I303" s="42" t="str">
        <f aca="false">IF(OR($E303="",$F303="",$F303=0),"",$E303/ABS($F303))</f>
        <v/>
      </c>
      <c r="J303" s="43" t="str">
        <f aca="false">IF($B303="","",INDEX(Listas!$G$6:$G$12,WEEKDAY($B303,1)))</f>
        <v/>
      </c>
      <c r="K303" s="43" t="str">
        <f aca="false">IFERROR(IF($L303="","",TEXT(IF($L303&lt;1,HOUR($L303),INT($L303)),"00")&amp;":00"),"")</f>
        <v/>
      </c>
      <c r="L303" s="44"/>
      <c r="M303" s="45"/>
      <c r="N303" s="46"/>
      <c r="O303" s="45"/>
      <c r="P303" s="2"/>
      <c r="Q303" s="2"/>
      <c r="R303" s="2"/>
      <c r="S303" s="2"/>
      <c r="T303" s="2"/>
      <c r="U303" s="47" t="str">
        <f aca="false">IF($G303="","",IF($G303&lt;0,IF(N($U302)=0,1,$U302+1),0))</f>
        <v/>
      </c>
      <c r="V303" s="47" t="str">
        <f aca="false">IF($G303="","",IF($V302="",'Empieza aquí'!$D$8,$V302)+$G303)</f>
        <v/>
      </c>
      <c r="W303" s="47" t="str">
        <f aca="false">IF($V303="","",MAX(IF($W302="",'Empieza aquí'!$D$8,$W302),$V303))</f>
        <v/>
      </c>
      <c r="X303" s="47" t="str">
        <f aca="false">IF($V303="","",$V303-$W303)</f>
        <v/>
      </c>
      <c r="Y303" s="3"/>
      <c r="Z303" s="3"/>
      <c r="AA303" s="3"/>
      <c r="AB303" s="3"/>
      <c r="AC303" s="3"/>
      <c r="AD303" s="3"/>
      <c r="AE303" s="3"/>
      <c r="AF303" s="3"/>
      <c r="AG303" s="3"/>
      <c r="AH303" s="3"/>
    </row>
    <row r="304" customFormat="false" ht="15" hidden="false" customHeight="true" outlineLevel="0" collapsed="false">
      <c r="A304" s="2"/>
      <c r="B304" s="36"/>
      <c r="C304" s="37"/>
      <c r="D304" s="37"/>
      <c r="E304" s="38"/>
      <c r="F304" s="39"/>
      <c r="G304" s="40" t="str">
        <f aca="false">IF(OR($E304="",$C304="",$D304=""),"",$E304*$D304*IFERROR(INDEX(Listas!$C$6:$C$20,MATCH($C304,Listas!$B$6:$B$20,0)),0)-$D304*IFERROR(INDEX(Listas!$D$6:$D$20,MATCH($C304,Listas!$B$6:$B$20,0)),0))</f>
        <v/>
      </c>
      <c r="H304" s="41" t="str">
        <f aca="false">IF(OR($F304="",$C304="",$D304=""),"",ABS($F304)*$D304*IFERROR(INDEX(Listas!$C$6:$C$20,MATCH($C304,Listas!$B$6:$B$20,0)),0))</f>
        <v/>
      </c>
      <c r="I304" s="42" t="str">
        <f aca="false">IF(OR($E304="",$F304="",$F304=0),"",$E304/ABS($F304))</f>
        <v/>
      </c>
      <c r="J304" s="43" t="str">
        <f aca="false">IF($B304="","",INDEX(Listas!$G$6:$G$12,WEEKDAY($B304,1)))</f>
        <v/>
      </c>
      <c r="K304" s="43" t="str">
        <f aca="false">IFERROR(IF($L304="","",TEXT(IF($L304&lt;1,HOUR($L304),INT($L304)),"00")&amp;":00"),"")</f>
        <v/>
      </c>
      <c r="L304" s="44"/>
      <c r="M304" s="45"/>
      <c r="N304" s="46"/>
      <c r="O304" s="45"/>
      <c r="P304" s="2"/>
      <c r="Q304" s="2"/>
      <c r="R304" s="2"/>
      <c r="S304" s="2"/>
      <c r="T304" s="2"/>
      <c r="U304" s="47" t="str">
        <f aca="false">IF($G304="","",IF($G304&lt;0,IF(N($U303)=0,1,$U303+1),0))</f>
        <v/>
      </c>
      <c r="V304" s="47" t="str">
        <f aca="false">IF($G304="","",IF($V303="",'Empieza aquí'!$D$8,$V303)+$G304)</f>
        <v/>
      </c>
      <c r="W304" s="47" t="str">
        <f aca="false">IF($V304="","",MAX(IF($W303="",'Empieza aquí'!$D$8,$W303),$V304))</f>
        <v/>
      </c>
      <c r="X304" s="47" t="str">
        <f aca="false">IF($V304="","",$V304-$W304)</f>
        <v/>
      </c>
      <c r="Y304" s="3"/>
      <c r="Z304" s="3"/>
      <c r="AA304" s="3"/>
      <c r="AB304" s="3"/>
      <c r="AC304" s="3"/>
      <c r="AD304" s="3"/>
      <c r="AE304" s="3"/>
      <c r="AF304" s="3"/>
      <c r="AG304" s="3"/>
      <c r="AH304" s="3"/>
    </row>
    <row r="305" customFormat="false" ht="15" hidden="false" customHeight="true" outlineLevel="0" collapsed="false">
      <c r="A305" s="2"/>
      <c r="B305" s="36"/>
      <c r="C305" s="37"/>
      <c r="D305" s="37"/>
      <c r="E305" s="38"/>
      <c r="F305" s="39"/>
      <c r="G305" s="40" t="str">
        <f aca="false">IF(OR($E305="",$C305="",$D305=""),"",$E305*$D305*IFERROR(INDEX(Listas!$C$6:$C$20,MATCH($C305,Listas!$B$6:$B$20,0)),0)-$D305*IFERROR(INDEX(Listas!$D$6:$D$20,MATCH($C305,Listas!$B$6:$B$20,0)),0))</f>
        <v/>
      </c>
      <c r="H305" s="41" t="str">
        <f aca="false">IF(OR($F305="",$C305="",$D305=""),"",ABS($F305)*$D305*IFERROR(INDEX(Listas!$C$6:$C$20,MATCH($C305,Listas!$B$6:$B$20,0)),0))</f>
        <v/>
      </c>
      <c r="I305" s="42" t="str">
        <f aca="false">IF(OR($E305="",$F305="",$F305=0),"",$E305/ABS($F305))</f>
        <v/>
      </c>
      <c r="J305" s="43" t="str">
        <f aca="false">IF($B305="","",INDEX(Listas!$G$6:$G$12,WEEKDAY($B305,1)))</f>
        <v/>
      </c>
      <c r="K305" s="43" t="str">
        <f aca="false">IFERROR(IF($L305="","",TEXT(IF($L305&lt;1,HOUR($L305),INT($L305)),"00")&amp;":00"),"")</f>
        <v/>
      </c>
      <c r="L305" s="44"/>
      <c r="M305" s="45"/>
      <c r="N305" s="46"/>
      <c r="O305" s="45"/>
      <c r="P305" s="2"/>
      <c r="Q305" s="2"/>
      <c r="R305" s="2"/>
      <c r="S305" s="2"/>
      <c r="T305" s="2"/>
      <c r="U305" s="47" t="str">
        <f aca="false">IF($G305="","",IF($G305&lt;0,IF(N($U304)=0,1,$U304+1),0))</f>
        <v/>
      </c>
      <c r="V305" s="47" t="str">
        <f aca="false">IF($G305="","",IF($V304="",'Empieza aquí'!$D$8,$V304)+$G305)</f>
        <v/>
      </c>
      <c r="W305" s="47" t="str">
        <f aca="false">IF($V305="","",MAX(IF($W304="",'Empieza aquí'!$D$8,$W304),$V305))</f>
        <v/>
      </c>
      <c r="X305" s="47" t="str">
        <f aca="false">IF($V305="","",$V305-$W305)</f>
        <v/>
      </c>
      <c r="Y305" s="3"/>
      <c r="Z305" s="3"/>
      <c r="AA305" s="3"/>
      <c r="AB305" s="3"/>
      <c r="AC305" s="3"/>
      <c r="AD305" s="3"/>
      <c r="AE305" s="3"/>
      <c r="AF305" s="3"/>
      <c r="AG305" s="3"/>
      <c r="AH305" s="3"/>
    </row>
    <row r="306" customFormat="false" ht="15" hidden="false" customHeight="true" outlineLevel="0" collapsed="false">
      <c r="A306" s="2"/>
      <c r="B306" s="36"/>
      <c r="C306" s="37"/>
      <c r="D306" s="37"/>
      <c r="E306" s="38"/>
      <c r="F306" s="39"/>
      <c r="G306" s="40" t="str">
        <f aca="false">IF(OR($E306="",$C306="",$D306=""),"",$E306*$D306*IFERROR(INDEX(Listas!$C$6:$C$20,MATCH($C306,Listas!$B$6:$B$20,0)),0)-$D306*IFERROR(INDEX(Listas!$D$6:$D$20,MATCH($C306,Listas!$B$6:$B$20,0)),0))</f>
        <v/>
      </c>
      <c r="H306" s="41" t="str">
        <f aca="false">IF(OR($F306="",$C306="",$D306=""),"",ABS($F306)*$D306*IFERROR(INDEX(Listas!$C$6:$C$20,MATCH($C306,Listas!$B$6:$B$20,0)),0))</f>
        <v/>
      </c>
      <c r="I306" s="42" t="str">
        <f aca="false">IF(OR($E306="",$F306="",$F306=0),"",$E306/ABS($F306))</f>
        <v/>
      </c>
      <c r="J306" s="43" t="str">
        <f aca="false">IF($B306="","",INDEX(Listas!$G$6:$G$12,WEEKDAY($B306,1)))</f>
        <v/>
      </c>
      <c r="K306" s="43" t="str">
        <f aca="false">IFERROR(IF($L306="","",TEXT(IF($L306&lt;1,HOUR($L306),INT($L306)),"00")&amp;":00"),"")</f>
        <v/>
      </c>
      <c r="L306" s="44"/>
      <c r="M306" s="45"/>
      <c r="N306" s="46"/>
      <c r="O306" s="45"/>
      <c r="P306" s="2"/>
      <c r="Q306" s="2"/>
      <c r="R306" s="2"/>
      <c r="S306" s="2"/>
      <c r="T306" s="2"/>
      <c r="U306" s="47" t="str">
        <f aca="false">IF($G306="","",IF($G306&lt;0,IF(N($U305)=0,1,$U305+1),0))</f>
        <v/>
      </c>
      <c r="V306" s="47" t="str">
        <f aca="false">IF($G306="","",IF($V305="",'Empieza aquí'!$D$8,$V305)+$G306)</f>
        <v/>
      </c>
      <c r="W306" s="47" t="str">
        <f aca="false">IF($V306="","",MAX(IF($W305="",'Empieza aquí'!$D$8,$W305),$V306))</f>
        <v/>
      </c>
      <c r="X306" s="47" t="str">
        <f aca="false">IF($V306="","",$V306-$W306)</f>
        <v/>
      </c>
      <c r="Y306" s="3"/>
      <c r="Z306" s="3"/>
      <c r="AA306" s="3"/>
      <c r="AB306" s="3"/>
      <c r="AC306" s="3"/>
      <c r="AD306" s="3"/>
      <c r="AE306" s="3"/>
      <c r="AF306" s="3"/>
      <c r="AG306" s="3"/>
      <c r="AH306" s="3"/>
    </row>
    <row r="307" customFormat="false" ht="15" hidden="false" customHeight="true" outlineLevel="0" collapsed="false">
      <c r="A307" s="2"/>
      <c r="B307" s="36"/>
      <c r="C307" s="37"/>
      <c r="D307" s="37"/>
      <c r="E307" s="38"/>
      <c r="F307" s="39"/>
      <c r="G307" s="40" t="str">
        <f aca="false">IF(OR($E307="",$C307="",$D307=""),"",$E307*$D307*IFERROR(INDEX(Listas!$C$6:$C$20,MATCH($C307,Listas!$B$6:$B$20,0)),0)-$D307*IFERROR(INDEX(Listas!$D$6:$D$20,MATCH($C307,Listas!$B$6:$B$20,0)),0))</f>
        <v/>
      </c>
      <c r="H307" s="41" t="str">
        <f aca="false">IF(OR($F307="",$C307="",$D307=""),"",ABS($F307)*$D307*IFERROR(INDEX(Listas!$C$6:$C$20,MATCH($C307,Listas!$B$6:$B$20,0)),0))</f>
        <v/>
      </c>
      <c r="I307" s="42" t="str">
        <f aca="false">IF(OR($E307="",$F307="",$F307=0),"",$E307/ABS($F307))</f>
        <v/>
      </c>
      <c r="J307" s="43" t="str">
        <f aca="false">IF($B307="","",INDEX(Listas!$G$6:$G$12,WEEKDAY($B307,1)))</f>
        <v/>
      </c>
      <c r="K307" s="43" t="str">
        <f aca="false">IFERROR(IF($L307="","",TEXT(IF($L307&lt;1,HOUR($L307),INT($L307)),"00")&amp;":00"),"")</f>
        <v/>
      </c>
      <c r="L307" s="44"/>
      <c r="M307" s="45"/>
      <c r="N307" s="46"/>
      <c r="O307" s="45"/>
      <c r="P307" s="2"/>
      <c r="Q307" s="2"/>
      <c r="R307" s="2"/>
      <c r="S307" s="2"/>
      <c r="T307" s="2"/>
      <c r="U307" s="47" t="str">
        <f aca="false">IF($G307="","",IF($G307&lt;0,IF(N($U306)=0,1,$U306+1),0))</f>
        <v/>
      </c>
      <c r="V307" s="47" t="str">
        <f aca="false">IF($G307="","",IF($V306="",'Empieza aquí'!$D$8,$V306)+$G307)</f>
        <v/>
      </c>
      <c r="W307" s="47" t="str">
        <f aca="false">IF($V307="","",MAX(IF($W306="",'Empieza aquí'!$D$8,$W306),$V307))</f>
        <v/>
      </c>
      <c r="X307" s="47" t="str">
        <f aca="false">IF($V307="","",$V307-$W307)</f>
        <v/>
      </c>
      <c r="Y307" s="3"/>
      <c r="Z307" s="3"/>
      <c r="AA307" s="3"/>
      <c r="AB307" s="3"/>
      <c r="AC307" s="3"/>
      <c r="AD307" s="3"/>
      <c r="AE307" s="3"/>
      <c r="AF307" s="3"/>
      <c r="AG307" s="3"/>
      <c r="AH307" s="3"/>
    </row>
    <row r="308" customFormat="false" ht="15" hidden="false" customHeight="true" outlineLevel="0" collapsed="false">
      <c r="A308" s="2"/>
      <c r="B308" s="36"/>
      <c r="C308" s="37"/>
      <c r="D308" s="37"/>
      <c r="E308" s="38"/>
      <c r="F308" s="39"/>
      <c r="G308" s="40" t="str">
        <f aca="false">IF(OR($E308="",$C308="",$D308=""),"",$E308*$D308*IFERROR(INDEX(Listas!$C$6:$C$20,MATCH($C308,Listas!$B$6:$B$20,0)),0)-$D308*IFERROR(INDEX(Listas!$D$6:$D$20,MATCH($C308,Listas!$B$6:$B$20,0)),0))</f>
        <v/>
      </c>
      <c r="H308" s="41" t="str">
        <f aca="false">IF(OR($F308="",$C308="",$D308=""),"",ABS($F308)*$D308*IFERROR(INDEX(Listas!$C$6:$C$20,MATCH($C308,Listas!$B$6:$B$20,0)),0))</f>
        <v/>
      </c>
      <c r="I308" s="42" t="str">
        <f aca="false">IF(OR($E308="",$F308="",$F308=0),"",$E308/ABS($F308))</f>
        <v/>
      </c>
      <c r="J308" s="43" t="str">
        <f aca="false">IF($B308="","",INDEX(Listas!$G$6:$G$12,WEEKDAY($B308,1)))</f>
        <v/>
      </c>
      <c r="K308" s="43" t="str">
        <f aca="false">IFERROR(IF($L308="","",TEXT(IF($L308&lt;1,HOUR($L308),INT($L308)),"00")&amp;":00"),"")</f>
        <v/>
      </c>
      <c r="L308" s="44"/>
      <c r="M308" s="45"/>
      <c r="N308" s="46"/>
      <c r="O308" s="45"/>
      <c r="P308" s="2"/>
      <c r="Q308" s="2"/>
      <c r="R308" s="2"/>
      <c r="S308" s="2"/>
      <c r="T308" s="2"/>
      <c r="U308" s="47" t="str">
        <f aca="false">IF($G308="","",IF($G308&lt;0,IF(N($U307)=0,1,$U307+1),0))</f>
        <v/>
      </c>
      <c r="V308" s="47" t="str">
        <f aca="false">IF($G308="","",IF($V307="",'Empieza aquí'!$D$8,$V307)+$G308)</f>
        <v/>
      </c>
      <c r="W308" s="47" t="str">
        <f aca="false">IF($V308="","",MAX(IF($W307="",'Empieza aquí'!$D$8,$W307),$V308))</f>
        <v/>
      </c>
      <c r="X308" s="47" t="str">
        <f aca="false">IF($V308="","",$V308-$W308)</f>
        <v/>
      </c>
      <c r="Y308" s="3"/>
      <c r="Z308" s="3"/>
      <c r="AA308" s="3"/>
      <c r="AB308" s="3"/>
      <c r="AC308" s="3"/>
      <c r="AD308" s="3"/>
      <c r="AE308" s="3"/>
      <c r="AF308" s="3"/>
      <c r="AG308" s="3"/>
      <c r="AH308" s="3"/>
    </row>
    <row r="309" customFormat="false" ht="15" hidden="false" customHeight="true" outlineLevel="0" collapsed="false">
      <c r="A309" s="2"/>
      <c r="B309" s="36"/>
      <c r="C309" s="37"/>
      <c r="D309" s="37"/>
      <c r="E309" s="38"/>
      <c r="F309" s="39"/>
      <c r="G309" s="40" t="str">
        <f aca="false">IF(OR($E309="",$C309="",$D309=""),"",$E309*$D309*IFERROR(INDEX(Listas!$C$6:$C$20,MATCH($C309,Listas!$B$6:$B$20,0)),0)-$D309*IFERROR(INDEX(Listas!$D$6:$D$20,MATCH($C309,Listas!$B$6:$B$20,0)),0))</f>
        <v/>
      </c>
      <c r="H309" s="41" t="str">
        <f aca="false">IF(OR($F309="",$C309="",$D309=""),"",ABS($F309)*$D309*IFERROR(INDEX(Listas!$C$6:$C$20,MATCH($C309,Listas!$B$6:$B$20,0)),0))</f>
        <v/>
      </c>
      <c r="I309" s="42" t="str">
        <f aca="false">IF(OR($E309="",$F309="",$F309=0),"",$E309/ABS($F309))</f>
        <v/>
      </c>
      <c r="J309" s="43" t="str">
        <f aca="false">IF($B309="","",INDEX(Listas!$G$6:$G$12,WEEKDAY($B309,1)))</f>
        <v/>
      </c>
      <c r="K309" s="43" t="str">
        <f aca="false">IFERROR(IF($L309="","",TEXT(IF($L309&lt;1,HOUR($L309),INT($L309)),"00")&amp;":00"),"")</f>
        <v/>
      </c>
      <c r="L309" s="44"/>
      <c r="M309" s="45"/>
      <c r="N309" s="46"/>
      <c r="O309" s="45"/>
      <c r="P309" s="2"/>
      <c r="Q309" s="2"/>
      <c r="R309" s="2"/>
      <c r="S309" s="2"/>
      <c r="T309" s="2"/>
      <c r="U309" s="47" t="str">
        <f aca="false">IF($G309="","",IF($G309&lt;0,IF(N($U308)=0,1,$U308+1),0))</f>
        <v/>
      </c>
      <c r="V309" s="47" t="str">
        <f aca="false">IF($G309="","",IF($V308="",'Empieza aquí'!$D$8,$V308)+$G309)</f>
        <v/>
      </c>
      <c r="W309" s="47" t="str">
        <f aca="false">IF($V309="","",MAX(IF($W308="",'Empieza aquí'!$D$8,$W308),$V309))</f>
        <v/>
      </c>
      <c r="X309" s="47" t="str">
        <f aca="false">IF($V309="","",$V309-$W309)</f>
        <v/>
      </c>
      <c r="Y309" s="3"/>
      <c r="Z309" s="3"/>
      <c r="AA309" s="3"/>
      <c r="AB309" s="3"/>
      <c r="AC309" s="3"/>
      <c r="AD309" s="3"/>
      <c r="AE309" s="3"/>
      <c r="AF309" s="3"/>
      <c r="AG309" s="3"/>
      <c r="AH309" s="3"/>
    </row>
    <row r="310" customFormat="false" ht="15" hidden="false" customHeight="true" outlineLevel="0" collapsed="false">
      <c r="A310" s="2"/>
      <c r="B310" s="36"/>
      <c r="C310" s="37"/>
      <c r="D310" s="37"/>
      <c r="E310" s="38"/>
      <c r="F310" s="39"/>
      <c r="G310" s="40" t="str">
        <f aca="false">IF(OR($E310="",$C310="",$D310=""),"",$E310*$D310*IFERROR(INDEX(Listas!$C$6:$C$20,MATCH($C310,Listas!$B$6:$B$20,0)),0)-$D310*IFERROR(INDEX(Listas!$D$6:$D$20,MATCH($C310,Listas!$B$6:$B$20,0)),0))</f>
        <v/>
      </c>
      <c r="H310" s="41" t="str">
        <f aca="false">IF(OR($F310="",$C310="",$D310=""),"",ABS($F310)*$D310*IFERROR(INDEX(Listas!$C$6:$C$20,MATCH($C310,Listas!$B$6:$B$20,0)),0))</f>
        <v/>
      </c>
      <c r="I310" s="42" t="str">
        <f aca="false">IF(OR($E310="",$F310="",$F310=0),"",$E310/ABS($F310))</f>
        <v/>
      </c>
      <c r="J310" s="43" t="str">
        <f aca="false">IF($B310="","",INDEX(Listas!$G$6:$G$12,WEEKDAY($B310,1)))</f>
        <v/>
      </c>
      <c r="K310" s="43" t="str">
        <f aca="false">IFERROR(IF($L310="","",TEXT(IF($L310&lt;1,HOUR($L310),INT($L310)),"00")&amp;":00"),"")</f>
        <v/>
      </c>
      <c r="L310" s="44"/>
      <c r="M310" s="45"/>
      <c r="N310" s="46"/>
      <c r="O310" s="45"/>
      <c r="P310" s="2"/>
      <c r="Q310" s="2"/>
      <c r="R310" s="2"/>
      <c r="S310" s="2"/>
      <c r="T310" s="2"/>
      <c r="U310" s="47" t="str">
        <f aca="false">IF($G310="","",IF($G310&lt;0,IF(N($U309)=0,1,$U309+1),0))</f>
        <v/>
      </c>
      <c r="V310" s="47" t="str">
        <f aca="false">IF($G310="","",IF($V309="",'Empieza aquí'!$D$8,$V309)+$G310)</f>
        <v/>
      </c>
      <c r="W310" s="47" t="str">
        <f aca="false">IF($V310="","",MAX(IF($W309="",'Empieza aquí'!$D$8,$W309),$V310))</f>
        <v/>
      </c>
      <c r="X310" s="47" t="str">
        <f aca="false">IF($V310="","",$V310-$W310)</f>
        <v/>
      </c>
      <c r="Y310" s="3"/>
      <c r="Z310" s="3"/>
      <c r="AA310" s="3"/>
      <c r="AB310" s="3"/>
      <c r="AC310" s="3"/>
      <c r="AD310" s="3"/>
      <c r="AE310" s="3"/>
      <c r="AF310" s="3"/>
      <c r="AG310" s="3"/>
      <c r="AH310" s="3"/>
    </row>
    <row r="311" customFormat="false" ht="15" hidden="false" customHeight="true" outlineLevel="0" collapsed="false">
      <c r="A311" s="2"/>
      <c r="B311" s="36"/>
      <c r="C311" s="37"/>
      <c r="D311" s="37"/>
      <c r="E311" s="38"/>
      <c r="F311" s="39"/>
      <c r="G311" s="40" t="str">
        <f aca="false">IF(OR($E311="",$C311="",$D311=""),"",$E311*$D311*IFERROR(INDEX(Listas!$C$6:$C$20,MATCH($C311,Listas!$B$6:$B$20,0)),0)-$D311*IFERROR(INDEX(Listas!$D$6:$D$20,MATCH($C311,Listas!$B$6:$B$20,0)),0))</f>
        <v/>
      </c>
      <c r="H311" s="41" t="str">
        <f aca="false">IF(OR($F311="",$C311="",$D311=""),"",ABS($F311)*$D311*IFERROR(INDEX(Listas!$C$6:$C$20,MATCH($C311,Listas!$B$6:$B$20,0)),0))</f>
        <v/>
      </c>
      <c r="I311" s="42" t="str">
        <f aca="false">IF(OR($E311="",$F311="",$F311=0),"",$E311/ABS($F311))</f>
        <v/>
      </c>
      <c r="J311" s="43" t="str">
        <f aca="false">IF($B311="","",INDEX(Listas!$G$6:$G$12,WEEKDAY($B311,1)))</f>
        <v/>
      </c>
      <c r="K311" s="43" t="str">
        <f aca="false">IFERROR(IF($L311="","",TEXT(IF($L311&lt;1,HOUR($L311),INT($L311)),"00")&amp;":00"),"")</f>
        <v/>
      </c>
      <c r="L311" s="44"/>
      <c r="M311" s="45"/>
      <c r="N311" s="46"/>
      <c r="O311" s="45"/>
      <c r="P311" s="2"/>
      <c r="Q311" s="2"/>
      <c r="R311" s="2"/>
      <c r="S311" s="2"/>
      <c r="T311" s="2"/>
      <c r="U311" s="47" t="str">
        <f aca="false">IF($G311="","",IF($G311&lt;0,IF(N($U310)=0,1,$U310+1),0))</f>
        <v/>
      </c>
      <c r="V311" s="47" t="str">
        <f aca="false">IF($G311="","",IF($V310="",'Empieza aquí'!$D$8,$V310)+$G311)</f>
        <v/>
      </c>
      <c r="W311" s="47" t="str">
        <f aca="false">IF($V311="","",MAX(IF($W310="",'Empieza aquí'!$D$8,$W310),$V311))</f>
        <v/>
      </c>
      <c r="X311" s="47" t="str">
        <f aca="false">IF($V311="","",$V311-$W311)</f>
        <v/>
      </c>
      <c r="Y311" s="3"/>
      <c r="Z311" s="3"/>
      <c r="AA311" s="3"/>
      <c r="AB311" s="3"/>
      <c r="AC311" s="3"/>
      <c r="AD311" s="3"/>
      <c r="AE311" s="3"/>
      <c r="AF311" s="3"/>
      <c r="AG311" s="3"/>
      <c r="AH311" s="3"/>
    </row>
    <row r="312" customFormat="false" ht="15" hidden="false" customHeight="true" outlineLevel="0" collapsed="false">
      <c r="A312" s="2"/>
      <c r="B312" s="36"/>
      <c r="C312" s="37"/>
      <c r="D312" s="37"/>
      <c r="E312" s="38"/>
      <c r="F312" s="39"/>
      <c r="G312" s="40" t="str">
        <f aca="false">IF(OR($E312="",$C312="",$D312=""),"",$E312*$D312*IFERROR(INDEX(Listas!$C$6:$C$20,MATCH($C312,Listas!$B$6:$B$20,0)),0)-$D312*IFERROR(INDEX(Listas!$D$6:$D$20,MATCH($C312,Listas!$B$6:$B$20,0)),0))</f>
        <v/>
      </c>
      <c r="H312" s="41" t="str">
        <f aca="false">IF(OR($F312="",$C312="",$D312=""),"",ABS($F312)*$D312*IFERROR(INDEX(Listas!$C$6:$C$20,MATCH($C312,Listas!$B$6:$B$20,0)),0))</f>
        <v/>
      </c>
      <c r="I312" s="42" t="str">
        <f aca="false">IF(OR($E312="",$F312="",$F312=0),"",$E312/ABS($F312))</f>
        <v/>
      </c>
      <c r="J312" s="43" t="str">
        <f aca="false">IF($B312="","",INDEX(Listas!$G$6:$G$12,WEEKDAY($B312,1)))</f>
        <v/>
      </c>
      <c r="K312" s="43" t="str">
        <f aca="false">IFERROR(IF($L312="","",TEXT(IF($L312&lt;1,HOUR($L312),INT($L312)),"00")&amp;":00"),"")</f>
        <v/>
      </c>
      <c r="L312" s="44"/>
      <c r="M312" s="45"/>
      <c r="N312" s="46"/>
      <c r="O312" s="45"/>
      <c r="P312" s="2"/>
      <c r="Q312" s="2"/>
      <c r="R312" s="2"/>
      <c r="S312" s="2"/>
      <c r="T312" s="2"/>
      <c r="U312" s="47" t="str">
        <f aca="false">IF($G312="","",IF($G312&lt;0,IF(N($U311)=0,1,$U311+1),0))</f>
        <v/>
      </c>
      <c r="V312" s="47" t="str">
        <f aca="false">IF($G312="","",IF($V311="",'Empieza aquí'!$D$8,$V311)+$G312)</f>
        <v/>
      </c>
      <c r="W312" s="47" t="str">
        <f aca="false">IF($V312="","",MAX(IF($W311="",'Empieza aquí'!$D$8,$W311),$V312))</f>
        <v/>
      </c>
      <c r="X312" s="47" t="str">
        <f aca="false">IF($V312="","",$V312-$W312)</f>
        <v/>
      </c>
      <c r="Y312" s="3"/>
      <c r="Z312" s="3"/>
      <c r="AA312" s="3"/>
      <c r="AB312" s="3"/>
      <c r="AC312" s="3"/>
      <c r="AD312" s="3"/>
      <c r="AE312" s="3"/>
      <c r="AF312" s="3"/>
      <c r="AG312" s="3"/>
      <c r="AH312" s="3"/>
    </row>
    <row r="313" customFormat="false" ht="15" hidden="false" customHeight="true" outlineLevel="0" collapsed="false">
      <c r="A313" s="2"/>
      <c r="B313" s="36"/>
      <c r="C313" s="37"/>
      <c r="D313" s="37"/>
      <c r="E313" s="38"/>
      <c r="F313" s="39"/>
      <c r="G313" s="40" t="str">
        <f aca="false">IF(OR($E313="",$C313="",$D313=""),"",$E313*$D313*IFERROR(INDEX(Listas!$C$6:$C$20,MATCH($C313,Listas!$B$6:$B$20,0)),0)-$D313*IFERROR(INDEX(Listas!$D$6:$D$20,MATCH($C313,Listas!$B$6:$B$20,0)),0))</f>
        <v/>
      </c>
      <c r="H313" s="41" t="str">
        <f aca="false">IF(OR($F313="",$C313="",$D313=""),"",ABS($F313)*$D313*IFERROR(INDEX(Listas!$C$6:$C$20,MATCH($C313,Listas!$B$6:$B$20,0)),0))</f>
        <v/>
      </c>
      <c r="I313" s="42" t="str">
        <f aca="false">IF(OR($E313="",$F313="",$F313=0),"",$E313/ABS($F313))</f>
        <v/>
      </c>
      <c r="J313" s="43" t="str">
        <f aca="false">IF($B313="","",INDEX(Listas!$G$6:$G$12,WEEKDAY($B313,1)))</f>
        <v/>
      </c>
      <c r="K313" s="43" t="str">
        <f aca="false">IFERROR(IF($L313="","",TEXT(IF($L313&lt;1,HOUR($L313),INT($L313)),"00")&amp;":00"),"")</f>
        <v/>
      </c>
      <c r="L313" s="44"/>
      <c r="M313" s="45"/>
      <c r="N313" s="46"/>
      <c r="O313" s="45"/>
      <c r="P313" s="2"/>
      <c r="Q313" s="2"/>
      <c r="R313" s="2"/>
      <c r="S313" s="2"/>
      <c r="T313" s="2"/>
      <c r="U313" s="47" t="str">
        <f aca="false">IF($G313="","",IF($G313&lt;0,IF(N($U312)=0,1,$U312+1),0))</f>
        <v/>
      </c>
      <c r="V313" s="47" t="str">
        <f aca="false">IF($G313="","",IF($V312="",'Empieza aquí'!$D$8,$V312)+$G313)</f>
        <v/>
      </c>
      <c r="W313" s="47" t="str">
        <f aca="false">IF($V313="","",MAX(IF($W312="",'Empieza aquí'!$D$8,$W312),$V313))</f>
        <v/>
      </c>
      <c r="X313" s="47" t="str">
        <f aca="false">IF($V313="","",$V313-$W313)</f>
        <v/>
      </c>
      <c r="Y313" s="3"/>
      <c r="Z313" s="3"/>
      <c r="AA313" s="3"/>
      <c r="AB313" s="3"/>
      <c r="AC313" s="3"/>
      <c r="AD313" s="3"/>
      <c r="AE313" s="3"/>
      <c r="AF313" s="3"/>
      <c r="AG313" s="3"/>
      <c r="AH313" s="3"/>
    </row>
    <row r="314" customFormat="false" ht="15" hidden="false" customHeight="true" outlineLevel="0" collapsed="false">
      <c r="A314" s="2"/>
      <c r="B314" s="36"/>
      <c r="C314" s="37"/>
      <c r="D314" s="37"/>
      <c r="E314" s="38"/>
      <c r="F314" s="39"/>
      <c r="G314" s="40" t="str">
        <f aca="false">IF(OR($E314="",$C314="",$D314=""),"",$E314*$D314*IFERROR(INDEX(Listas!$C$6:$C$20,MATCH($C314,Listas!$B$6:$B$20,0)),0)-$D314*IFERROR(INDEX(Listas!$D$6:$D$20,MATCH($C314,Listas!$B$6:$B$20,0)),0))</f>
        <v/>
      </c>
      <c r="H314" s="41" t="str">
        <f aca="false">IF(OR($F314="",$C314="",$D314=""),"",ABS($F314)*$D314*IFERROR(INDEX(Listas!$C$6:$C$20,MATCH($C314,Listas!$B$6:$B$20,0)),0))</f>
        <v/>
      </c>
      <c r="I314" s="42" t="str">
        <f aca="false">IF(OR($E314="",$F314="",$F314=0),"",$E314/ABS($F314))</f>
        <v/>
      </c>
      <c r="J314" s="43" t="str">
        <f aca="false">IF($B314="","",INDEX(Listas!$G$6:$G$12,WEEKDAY($B314,1)))</f>
        <v/>
      </c>
      <c r="K314" s="43" t="str">
        <f aca="false">IFERROR(IF($L314="","",TEXT(IF($L314&lt;1,HOUR($L314),INT($L314)),"00")&amp;":00"),"")</f>
        <v/>
      </c>
      <c r="L314" s="44"/>
      <c r="M314" s="45"/>
      <c r="N314" s="46"/>
      <c r="O314" s="45"/>
      <c r="P314" s="2"/>
      <c r="Q314" s="2"/>
      <c r="R314" s="2"/>
      <c r="S314" s="2"/>
      <c r="T314" s="2"/>
      <c r="U314" s="47" t="str">
        <f aca="false">IF($G314="","",IF($G314&lt;0,IF(N($U313)=0,1,$U313+1),0))</f>
        <v/>
      </c>
      <c r="V314" s="47" t="str">
        <f aca="false">IF($G314="","",IF($V313="",'Empieza aquí'!$D$8,$V313)+$G314)</f>
        <v/>
      </c>
      <c r="W314" s="47" t="str">
        <f aca="false">IF($V314="","",MAX(IF($W313="",'Empieza aquí'!$D$8,$W313),$V314))</f>
        <v/>
      </c>
      <c r="X314" s="47" t="str">
        <f aca="false">IF($V314="","",$V314-$W314)</f>
        <v/>
      </c>
      <c r="Y314" s="3"/>
      <c r="Z314" s="3"/>
      <c r="AA314" s="3"/>
      <c r="AB314" s="3"/>
      <c r="AC314" s="3"/>
      <c r="AD314" s="3"/>
      <c r="AE314" s="3"/>
      <c r="AF314" s="3"/>
      <c r="AG314" s="3"/>
      <c r="AH314" s="3"/>
    </row>
    <row r="315" customFormat="false" ht="15" hidden="false" customHeight="true" outlineLevel="0" collapsed="false">
      <c r="A315" s="2"/>
      <c r="B315" s="36"/>
      <c r="C315" s="37"/>
      <c r="D315" s="37"/>
      <c r="E315" s="38"/>
      <c r="F315" s="39"/>
      <c r="G315" s="40" t="str">
        <f aca="false">IF(OR($E315="",$C315="",$D315=""),"",$E315*$D315*IFERROR(INDEX(Listas!$C$6:$C$20,MATCH($C315,Listas!$B$6:$B$20,0)),0)-$D315*IFERROR(INDEX(Listas!$D$6:$D$20,MATCH($C315,Listas!$B$6:$B$20,0)),0))</f>
        <v/>
      </c>
      <c r="H315" s="41" t="str">
        <f aca="false">IF(OR($F315="",$C315="",$D315=""),"",ABS($F315)*$D315*IFERROR(INDEX(Listas!$C$6:$C$20,MATCH($C315,Listas!$B$6:$B$20,0)),0))</f>
        <v/>
      </c>
      <c r="I315" s="42" t="str">
        <f aca="false">IF(OR($E315="",$F315="",$F315=0),"",$E315/ABS($F315))</f>
        <v/>
      </c>
      <c r="J315" s="43" t="str">
        <f aca="false">IF($B315="","",INDEX(Listas!$G$6:$G$12,WEEKDAY($B315,1)))</f>
        <v/>
      </c>
      <c r="K315" s="43" t="str">
        <f aca="false">IFERROR(IF($L315="","",TEXT(IF($L315&lt;1,HOUR($L315),INT($L315)),"00")&amp;":00"),"")</f>
        <v/>
      </c>
      <c r="L315" s="44"/>
      <c r="M315" s="45"/>
      <c r="N315" s="46"/>
      <c r="O315" s="45"/>
      <c r="P315" s="2"/>
      <c r="Q315" s="2"/>
      <c r="R315" s="2"/>
      <c r="S315" s="2"/>
      <c r="T315" s="2"/>
      <c r="U315" s="47" t="str">
        <f aca="false">IF($G315="","",IF($G315&lt;0,IF(N($U314)=0,1,$U314+1),0))</f>
        <v/>
      </c>
      <c r="V315" s="47" t="str">
        <f aca="false">IF($G315="","",IF($V314="",'Empieza aquí'!$D$8,$V314)+$G315)</f>
        <v/>
      </c>
      <c r="W315" s="47" t="str">
        <f aca="false">IF($V315="","",MAX(IF($W314="",'Empieza aquí'!$D$8,$W314),$V315))</f>
        <v/>
      </c>
      <c r="X315" s="47" t="str">
        <f aca="false">IF($V315="","",$V315-$W315)</f>
        <v/>
      </c>
      <c r="Y315" s="3"/>
      <c r="Z315" s="3"/>
      <c r="AA315" s="3"/>
      <c r="AB315" s="3"/>
      <c r="AC315" s="3"/>
      <c r="AD315" s="3"/>
      <c r="AE315" s="3"/>
      <c r="AF315" s="3"/>
      <c r="AG315" s="3"/>
      <c r="AH315" s="3"/>
    </row>
    <row r="316" customFormat="false" ht="15" hidden="false" customHeight="true" outlineLevel="0" collapsed="false">
      <c r="A316" s="2"/>
      <c r="B316" s="36"/>
      <c r="C316" s="37"/>
      <c r="D316" s="37"/>
      <c r="E316" s="38"/>
      <c r="F316" s="39"/>
      <c r="G316" s="40" t="str">
        <f aca="false">IF(OR($E316="",$C316="",$D316=""),"",$E316*$D316*IFERROR(INDEX(Listas!$C$6:$C$20,MATCH($C316,Listas!$B$6:$B$20,0)),0)-$D316*IFERROR(INDEX(Listas!$D$6:$D$20,MATCH($C316,Listas!$B$6:$B$20,0)),0))</f>
        <v/>
      </c>
      <c r="H316" s="41" t="str">
        <f aca="false">IF(OR($F316="",$C316="",$D316=""),"",ABS($F316)*$D316*IFERROR(INDEX(Listas!$C$6:$C$20,MATCH($C316,Listas!$B$6:$B$20,0)),0))</f>
        <v/>
      </c>
      <c r="I316" s="42" t="str">
        <f aca="false">IF(OR($E316="",$F316="",$F316=0),"",$E316/ABS($F316))</f>
        <v/>
      </c>
      <c r="J316" s="43" t="str">
        <f aca="false">IF($B316="","",INDEX(Listas!$G$6:$G$12,WEEKDAY($B316,1)))</f>
        <v/>
      </c>
      <c r="K316" s="43" t="str">
        <f aca="false">IFERROR(IF($L316="","",TEXT(IF($L316&lt;1,HOUR($L316),INT($L316)),"00")&amp;":00"),"")</f>
        <v/>
      </c>
      <c r="L316" s="44"/>
      <c r="M316" s="45"/>
      <c r="N316" s="46"/>
      <c r="O316" s="45"/>
      <c r="P316" s="2"/>
      <c r="Q316" s="2"/>
      <c r="R316" s="2"/>
      <c r="S316" s="2"/>
      <c r="T316" s="2"/>
      <c r="U316" s="47" t="str">
        <f aca="false">IF($G316="","",IF($G316&lt;0,IF(N($U315)=0,1,$U315+1),0))</f>
        <v/>
      </c>
      <c r="V316" s="47" t="str">
        <f aca="false">IF($G316="","",IF($V315="",'Empieza aquí'!$D$8,$V315)+$G316)</f>
        <v/>
      </c>
      <c r="W316" s="47" t="str">
        <f aca="false">IF($V316="","",MAX(IF($W315="",'Empieza aquí'!$D$8,$W315),$V316))</f>
        <v/>
      </c>
      <c r="X316" s="47" t="str">
        <f aca="false">IF($V316="","",$V316-$W316)</f>
        <v/>
      </c>
      <c r="Y316" s="3"/>
      <c r="Z316" s="3"/>
      <c r="AA316" s="3"/>
      <c r="AB316" s="3"/>
      <c r="AC316" s="3"/>
      <c r="AD316" s="3"/>
      <c r="AE316" s="3"/>
      <c r="AF316" s="3"/>
      <c r="AG316" s="3"/>
      <c r="AH316" s="3"/>
    </row>
    <row r="317" customFormat="false" ht="15" hidden="false" customHeight="true" outlineLevel="0" collapsed="false">
      <c r="A317" s="2"/>
      <c r="B317" s="36"/>
      <c r="C317" s="37"/>
      <c r="D317" s="37"/>
      <c r="E317" s="38"/>
      <c r="F317" s="39"/>
      <c r="G317" s="40" t="str">
        <f aca="false">IF(OR($E317="",$C317="",$D317=""),"",$E317*$D317*IFERROR(INDEX(Listas!$C$6:$C$20,MATCH($C317,Listas!$B$6:$B$20,0)),0)-$D317*IFERROR(INDEX(Listas!$D$6:$D$20,MATCH($C317,Listas!$B$6:$B$20,0)),0))</f>
        <v/>
      </c>
      <c r="H317" s="41" t="str">
        <f aca="false">IF(OR($F317="",$C317="",$D317=""),"",ABS($F317)*$D317*IFERROR(INDEX(Listas!$C$6:$C$20,MATCH($C317,Listas!$B$6:$B$20,0)),0))</f>
        <v/>
      </c>
      <c r="I317" s="42" t="str">
        <f aca="false">IF(OR($E317="",$F317="",$F317=0),"",$E317/ABS($F317))</f>
        <v/>
      </c>
      <c r="J317" s="43" t="str">
        <f aca="false">IF($B317="","",INDEX(Listas!$G$6:$G$12,WEEKDAY($B317,1)))</f>
        <v/>
      </c>
      <c r="K317" s="43" t="str">
        <f aca="false">IFERROR(IF($L317="","",TEXT(IF($L317&lt;1,HOUR($L317),INT($L317)),"00")&amp;":00"),"")</f>
        <v/>
      </c>
      <c r="L317" s="44"/>
      <c r="M317" s="45"/>
      <c r="N317" s="46"/>
      <c r="O317" s="45"/>
      <c r="P317" s="2"/>
      <c r="Q317" s="2"/>
      <c r="R317" s="2"/>
      <c r="S317" s="2"/>
      <c r="T317" s="2"/>
      <c r="U317" s="47" t="str">
        <f aca="false">IF($G317="","",IF($G317&lt;0,IF(N($U316)=0,1,$U316+1),0))</f>
        <v/>
      </c>
      <c r="V317" s="47" t="str">
        <f aca="false">IF($G317="","",IF($V316="",'Empieza aquí'!$D$8,$V316)+$G317)</f>
        <v/>
      </c>
      <c r="W317" s="47" t="str">
        <f aca="false">IF($V317="","",MAX(IF($W316="",'Empieza aquí'!$D$8,$W316),$V317))</f>
        <v/>
      </c>
      <c r="X317" s="47" t="str">
        <f aca="false">IF($V317="","",$V317-$W317)</f>
        <v/>
      </c>
      <c r="Y317" s="3"/>
      <c r="Z317" s="3"/>
      <c r="AA317" s="3"/>
      <c r="AB317" s="3"/>
      <c r="AC317" s="3"/>
      <c r="AD317" s="3"/>
      <c r="AE317" s="3"/>
      <c r="AF317" s="3"/>
      <c r="AG317" s="3"/>
      <c r="AH317" s="3"/>
    </row>
    <row r="318" customFormat="false" ht="15" hidden="false" customHeight="true" outlineLevel="0" collapsed="false">
      <c r="A318" s="2"/>
      <c r="B318" s="36"/>
      <c r="C318" s="37"/>
      <c r="D318" s="37"/>
      <c r="E318" s="38"/>
      <c r="F318" s="39"/>
      <c r="G318" s="40" t="str">
        <f aca="false">IF(OR($E318="",$C318="",$D318=""),"",$E318*$D318*IFERROR(INDEX(Listas!$C$6:$C$20,MATCH($C318,Listas!$B$6:$B$20,0)),0)-$D318*IFERROR(INDEX(Listas!$D$6:$D$20,MATCH($C318,Listas!$B$6:$B$20,0)),0))</f>
        <v/>
      </c>
      <c r="H318" s="41" t="str">
        <f aca="false">IF(OR($F318="",$C318="",$D318=""),"",ABS($F318)*$D318*IFERROR(INDEX(Listas!$C$6:$C$20,MATCH($C318,Listas!$B$6:$B$20,0)),0))</f>
        <v/>
      </c>
      <c r="I318" s="42" t="str">
        <f aca="false">IF(OR($E318="",$F318="",$F318=0),"",$E318/ABS($F318))</f>
        <v/>
      </c>
      <c r="J318" s="43" t="str">
        <f aca="false">IF($B318="","",INDEX(Listas!$G$6:$G$12,WEEKDAY($B318,1)))</f>
        <v/>
      </c>
      <c r="K318" s="43" t="str">
        <f aca="false">IFERROR(IF($L318="","",TEXT(IF($L318&lt;1,HOUR($L318),INT($L318)),"00")&amp;":00"),"")</f>
        <v/>
      </c>
      <c r="L318" s="44"/>
      <c r="M318" s="45"/>
      <c r="N318" s="46"/>
      <c r="O318" s="45"/>
      <c r="P318" s="2"/>
      <c r="Q318" s="2"/>
      <c r="R318" s="2"/>
      <c r="S318" s="2"/>
      <c r="T318" s="2"/>
      <c r="U318" s="47" t="str">
        <f aca="false">IF($G318="","",IF($G318&lt;0,IF(N($U317)=0,1,$U317+1),0))</f>
        <v/>
      </c>
      <c r="V318" s="47" t="str">
        <f aca="false">IF($G318="","",IF($V317="",'Empieza aquí'!$D$8,$V317)+$G318)</f>
        <v/>
      </c>
      <c r="W318" s="47" t="str">
        <f aca="false">IF($V318="","",MAX(IF($W317="",'Empieza aquí'!$D$8,$W317),$V318))</f>
        <v/>
      </c>
      <c r="X318" s="47" t="str">
        <f aca="false">IF($V318="","",$V318-$W318)</f>
        <v/>
      </c>
      <c r="Y318" s="3"/>
      <c r="Z318" s="3"/>
      <c r="AA318" s="3"/>
      <c r="AB318" s="3"/>
      <c r="AC318" s="3"/>
      <c r="AD318" s="3"/>
      <c r="AE318" s="3"/>
      <c r="AF318" s="3"/>
      <c r="AG318" s="3"/>
      <c r="AH318" s="3"/>
    </row>
    <row r="319" customFormat="false" ht="15" hidden="false" customHeight="true" outlineLevel="0" collapsed="false">
      <c r="A319" s="2"/>
      <c r="B319" s="36"/>
      <c r="C319" s="37"/>
      <c r="D319" s="37"/>
      <c r="E319" s="38"/>
      <c r="F319" s="39"/>
      <c r="G319" s="40" t="str">
        <f aca="false">IF(OR($E319="",$C319="",$D319=""),"",$E319*$D319*IFERROR(INDEX(Listas!$C$6:$C$20,MATCH($C319,Listas!$B$6:$B$20,0)),0)-$D319*IFERROR(INDEX(Listas!$D$6:$D$20,MATCH($C319,Listas!$B$6:$B$20,0)),0))</f>
        <v/>
      </c>
      <c r="H319" s="41" t="str">
        <f aca="false">IF(OR($F319="",$C319="",$D319=""),"",ABS($F319)*$D319*IFERROR(INDEX(Listas!$C$6:$C$20,MATCH($C319,Listas!$B$6:$B$20,0)),0))</f>
        <v/>
      </c>
      <c r="I319" s="42" t="str">
        <f aca="false">IF(OR($E319="",$F319="",$F319=0),"",$E319/ABS($F319))</f>
        <v/>
      </c>
      <c r="J319" s="43" t="str">
        <f aca="false">IF($B319="","",INDEX(Listas!$G$6:$G$12,WEEKDAY($B319,1)))</f>
        <v/>
      </c>
      <c r="K319" s="43" t="str">
        <f aca="false">IFERROR(IF($L319="","",TEXT(IF($L319&lt;1,HOUR($L319),INT($L319)),"00")&amp;":00"),"")</f>
        <v/>
      </c>
      <c r="L319" s="44"/>
      <c r="M319" s="45"/>
      <c r="N319" s="46"/>
      <c r="O319" s="45"/>
      <c r="P319" s="2"/>
      <c r="Q319" s="2"/>
      <c r="R319" s="2"/>
      <c r="S319" s="2"/>
      <c r="T319" s="2"/>
      <c r="U319" s="47" t="str">
        <f aca="false">IF($G319="","",IF($G319&lt;0,IF(N($U318)=0,1,$U318+1),0))</f>
        <v/>
      </c>
      <c r="V319" s="47" t="str">
        <f aca="false">IF($G319="","",IF($V318="",'Empieza aquí'!$D$8,$V318)+$G319)</f>
        <v/>
      </c>
      <c r="W319" s="47" t="str">
        <f aca="false">IF($V319="","",MAX(IF($W318="",'Empieza aquí'!$D$8,$W318),$V319))</f>
        <v/>
      </c>
      <c r="X319" s="47" t="str">
        <f aca="false">IF($V319="","",$V319-$W319)</f>
        <v/>
      </c>
      <c r="Y319" s="3"/>
      <c r="Z319" s="3"/>
      <c r="AA319" s="3"/>
      <c r="AB319" s="3"/>
      <c r="AC319" s="3"/>
      <c r="AD319" s="3"/>
      <c r="AE319" s="3"/>
      <c r="AF319" s="3"/>
      <c r="AG319" s="3"/>
      <c r="AH319" s="3"/>
    </row>
    <row r="320" customFormat="false" ht="15" hidden="false" customHeight="true" outlineLevel="0" collapsed="false">
      <c r="A320" s="2"/>
      <c r="B320" s="36"/>
      <c r="C320" s="37"/>
      <c r="D320" s="37"/>
      <c r="E320" s="38"/>
      <c r="F320" s="39"/>
      <c r="G320" s="40" t="str">
        <f aca="false">IF(OR($E320="",$C320="",$D320=""),"",$E320*$D320*IFERROR(INDEX(Listas!$C$6:$C$20,MATCH($C320,Listas!$B$6:$B$20,0)),0)-$D320*IFERROR(INDEX(Listas!$D$6:$D$20,MATCH($C320,Listas!$B$6:$B$20,0)),0))</f>
        <v/>
      </c>
      <c r="H320" s="41" t="str">
        <f aca="false">IF(OR($F320="",$C320="",$D320=""),"",ABS($F320)*$D320*IFERROR(INDEX(Listas!$C$6:$C$20,MATCH($C320,Listas!$B$6:$B$20,0)),0))</f>
        <v/>
      </c>
      <c r="I320" s="42" t="str">
        <f aca="false">IF(OR($E320="",$F320="",$F320=0),"",$E320/ABS($F320))</f>
        <v/>
      </c>
      <c r="J320" s="43" t="str">
        <f aca="false">IF($B320="","",INDEX(Listas!$G$6:$G$12,WEEKDAY($B320,1)))</f>
        <v/>
      </c>
      <c r="K320" s="43" t="str">
        <f aca="false">IFERROR(IF($L320="","",TEXT(IF($L320&lt;1,HOUR($L320),INT($L320)),"00")&amp;":00"),"")</f>
        <v/>
      </c>
      <c r="L320" s="44"/>
      <c r="M320" s="45"/>
      <c r="N320" s="46"/>
      <c r="O320" s="45"/>
      <c r="P320" s="2"/>
      <c r="Q320" s="2"/>
      <c r="R320" s="2"/>
      <c r="S320" s="2"/>
      <c r="T320" s="2"/>
      <c r="U320" s="47" t="str">
        <f aca="false">IF($G320="","",IF($G320&lt;0,IF(N($U319)=0,1,$U319+1),0))</f>
        <v/>
      </c>
      <c r="V320" s="47" t="str">
        <f aca="false">IF($G320="","",IF($V319="",'Empieza aquí'!$D$8,$V319)+$G320)</f>
        <v/>
      </c>
      <c r="W320" s="47" t="str">
        <f aca="false">IF($V320="","",MAX(IF($W319="",'Empieza aquí'!$D$8,$W319),$V320))</f>
        <v/>
      </c>
      <c r="X320" s="47" t="str">
        <f aca="false">IF($V320="","",$V320-$W320)</f>
        <v/>
      </c>
      <c r="Y320" s="3"/>
      <c r="Z320" s="3"/>
      <c r="AA320" s="3"/>
      <c r="AB320" s="3"/>
      <c r="AC320" s="3"/>
      <c r="AD320" s="3"/>
      <c r="AE320" s="3"/>
      <c r="AF320" s="3"/>
      <c r="AG320" s="3"/>
      <c r="AH320" s="3"/>
    </row>
    <row r="321" customFormat="false" ht="15" hidden="false" customHeight="true" outlineLevel="0" collapsed="false">
      <c r="A321" s="2"/>
      <c r="B321" s="36"/>
      <c r="C321" s="37"/>
      <c r="D321" s="37"/>
      <c r="E321" s="38"/>
      <c r="F321" s="39"/>
      <c r="G321" s="40" t="str">
        <f aca="false">IF(OR($E321="",$C321="",$D321=""),"",$E321*$D321*IFERROR(INDEX(Listas!$C$6:$C$20,MATCH($C321,Listas!$B$6:$B$20,0)),0)-$D321*IFERROR(INDEX(Listas!$D$6:$D$20,MATCH($C321,Listas!$B$6:$B$20,0)),0))</f>
        <v/>
      </c>
      <c r="H321" s="41" t="str">
        <f aca="false">IF(OR($F321="",$C321="",$D321=""),"",ABS($F321)*$D321*IFERROR(INDEX(Listas!$C$6:$C$20,MATCH($C321,Listas!$B$6:$B$20,0)),0))</f>
        <v/>
      </c>
      <c r="I321" s="42" t="str">
        <f aca="false">IF(OR($E321="",$F321="",$F321=0),"",$E321/ABS($F321))</f>
        <v/>
      </c>
      <c r="J321" s="43" t="str">
        <f aca="false">IF($B321="","",INDEX(Listas!$G$6:$G$12,WEEKDAY($B321,1)))</f>
        <v/>
      </c>
      <c r="K321" s="43" t="str">
        <f aca="false">IFERROR(IF($L321="","",TEXT(IF($L321&lt;1,HOUR($L321),INT($L321)),"00")&amp;":00"),"")</f>
        <v/>
      </c>
      <c r="L321" s="44"/>
      <c r="M321" s="45"/>
      <c r="N321" s="46"/>
      <c r="O321" s="45"/>
      <c r="P321" s="2"/>
      <c r="Q321" s="2"/>
      <c r="R321" s="2"/>
      <c r="S321" s="2"/>
      <c r="T321" s="2"/>
      <c r="U321" s="47" t="str">
        <f aca="false">IF($G321="","",IF($G321&lt;0,IF(N($U320)=0,1,$U320+1),0))</f>
        <v/>
      </c>
      <c r="V321" s="47" t="str">
        <f aca="false">IF($G321="","",IF($V320="",'Empieza aquí'!$D$8,$V320)+$G321)</f>
        <v/>
      </c>
      <c r="W321" s="47" t="str">
        <f aca="false">IF($V321="","",MAX(IF($W320="",'Empieza aquí'!$D$8,$W320),$V321))</f>
        <v/>
      </c>
      <c r="X321" s="47" t="str">
        <f aca="false">IF($V321="","",$V321-$W321)</f>
        <v/>
      </c>
      <c r="Y321" s="3"/>
      <c r="Z321" s="3"/>
      <c r="AA321" s="3"/>
      <c r="AB321" s="3"/>
      <c r="AC321" s="3"/>
      <c r="AD321" s="3"/>
      <c r="AE321" s="3"/>
      <c r="AF321" s="3"/>
      <c r="AG321" s="3"/>
      <c r="AH321" s="3"/>
    </row>
    <row r="322" customFormat="false" ht="15" hidden="false" customHeight="true" outlineLevel="0" collapsed="false">
      <c r="A322" s="2"/>
      <c r="B322" s="36"/>
      <c r="C322" s="37"/>
      <c r="D322" s="37"/>
      <c r="E322" s="38"/>
      <c r="F322" s="39"/>
      <c r="G322" s="40" t="str">
        <f aca="false">IF(OR($E322="",$C322="",$D322=""),"",$E322*$D322*IFERROR(INDEX(Listas!$C$6:$C$20,MATCH($C322,Listas!$B$6:$B$20,0)),0)-$D322*IFERROR(INDEX(Listas!$D$6:$D$20,MATCH($C322,Listas!$B$6:$B$20,0)),0))</f>
        <v/>
      </c>
      <c r="H322" s="41" t="str">
        <f aca="false">IF(OR($F322="",$C322="",$D322=""),"",ABS($F322)*$D322*IFERROR(INDEX(Listas!$C$6:$C$20,MATCH($C322,Listas!$B$6:$B$20,0)),0))</f>
        <v/>
      </c>
      <c r="I322" s="42" t="str">
        <f aca="false">IF(OR($E322="",$F322="",$F322=0),"",$E322/ABS($F322))</f>
        <v/>
      </c>
      <c r="J322" s="43" t="str">
        <f aca="false">IF($B322="","",INDEX(Listas!$G$6:$G$12,WEEKDAY($B322,1)))</f>
        <v/>
      </c>
      <c r="K322" s="43" t="str">
        <f aca="false">IFERROR(IF($L322="","",TEXT(IF($L322&lt;1,HOUR($L322),INT($L322)),"00")&amp;":00"),"")</f>
        <v/>
      </c>
      <c r="L322" s="44"/>
      <c r="M322" s="45"/>
      <c r="N322" s="46"/>
      <c r="O322" s="45"/>
      <c r="P322" s="2"/>
      <c r="Q322" s="2"/>
      <c r="R322" s="2"/>
      <c r="S322" s="2"/>
      <c r="T322" s="2"/>
      <c r="U322" s="47" t="str">
        <f aca="false">IF($G322="","",IF($G322&lt;0,IF(N($U321)=0,1,$U321+1),0))</f>
        <v/>
      </c>
      <c r="V322" s="47" t="str">
        <f aca="false">IF($G322="","",IF($V321="",'Empieza aquí'!$D$8,$V321)+$G322)</f>
        <v/>
      </c>
      <c r="W322" s="47" t="str">
        <f aca="false">IF($V322="","",MAX(IF($W321="",'Empieza aquí'!$D$8,$W321),$V322))</f>
        <v/>
      </c>
      <c r="X322" s="47" t="str">
        <f aca="false">IF($V322="","",$V322-$W322)</f>
        <v/>
      </c>
      <c r="Y322" s="3"/>
      <c r="Z322" s="3"/>
      <c r="AA322" s="3"/>
      <c r="AB322" s="3"/>
      <c r="AC322" s="3"/>
      <c r="AD322" s="3"/>
      <c r="AE322" s="3"/>
      <c r="AF322" s="3"/>
      <c r="AG322" s="3"/>
      <c r="AH322" s="3"/>
    </row>
    <row r="323" customFormat="false" ht="15" hidden="false" customHeight="true" outlineLevel="0" collapsed="false">
      <c r="A323" s="2"/>
      <c r="B323" s="36"/>
      <c r="C323" s="37"/>
      <c r="D323" s="37"/>
      <c r="E323" s="38"/>
      <c r="F323" s="39"/>
      <c r="G323" s="40" t="str">
        <f aca="false">IF(OR($E323="",$C323="",$D323=""),"",$E323*$D323*IFERROR(INDEX(Listas!$C$6:$C$20,MATCH($C323,Listas!$B$6:$B$20,0)),0)-$D323*IFERROR(INDEX(Listas!$D$6:$D$20,MATCH($C323,Listas!$B$6:$B$20,0)),0))</f>
        <v/>
      </c>
      <c r="H323" s="41" t="str">
        <f aca="false">IF(OR($F323="",$C323="",$D323=""),"",ABS($F323)*$D323*IFERROR(INDEX(Listas!$C$6:$C$20,MATCH($C323,Listas!$B$6:$B$20,0)),0))</f>
        <v/>
      </c>
      <c r="I323" s="42" t="str">
        <f aca="false">IF(OR($E323="",$F323="",$F323=0),"",$E323/ABS($F323))</f>
        <v/>
      </c>
      <c r="J323" s="43" t="str">
        <f aca="false">IF($B323="","",INDEX(Listas!$G$6:$G$12,WEEKDAY($B323,1)))</f>
        <v/>
      </c>
      <c r="K323" s="43" t="str">
        <f aca="false">IFERROR(IF($L323="","",TEXT(IF($L323&lt;1,HOUR($L323),INT($L323)),"00")&amp;":00"),"")</f>
        <v/>
      </c>
      <c r="L323" s="44"/>
      <c r="M323" s="45"/>
      <c r="N323" s="46"/>
      <c r="O323" s="45"/>
      <c r="P323" s="2"/>
      <c r="Q323" s="2"/>
      <c r="R323" s="2"/>
      <c r="S323" s="2"/>
      <c r="T323" s="2"/>
      <c r="U323" s="47" t="str">
        <f aca="false">IF($G323="","",IF($G323&lt;0,IF(N($U322)=0,1,$U322+1),0))</f>
        <v/>
      </c>
      <c r="V323" s="47" t="str">
        <f aca="false">IF($G323="","",IF($V322="",'Empieza aquí'!$D$8,$V322)+$G323)</f>
        <v/>
      </c>
      <c r="W323" s="47" t="str">
        <f aca="false">IF($V323="","",MAX(IF($W322="",'Empieza aquí'!$D$8,$W322),$V323))</f>
        <v/>
      </c>
      <c r="X323" s="47" t="str">
        <f aca="false">IF($V323="","",$V323-$W323)</f>
        <v/>
      </c>
      <c r="Y323" s="3"/>
      <c r="Z323" s="3"/>
      <c r="AA323" s="3"/>
      <c r="AB323" s="3"/>
      <c r="AC323" s="3"/>
      <c r="AD323" s="3"/>
      <c r="AE323" s="3"/>
      <c r="AF323" s="3"/>
      <c r="AG323" s="3"/>
      <c r="AH323" s="3"/>
    </row>
    <row r="324" customFormat="false" ht="15" hidden="false" customHeight="true" outlineLevel="0" collapsed="false">
      <c r="A324" s="2"/>
      <c r="B324" s="36"/>
      <c r="C324" s="37"/>
      <c r="D324" s="37"/>
      <c r="E324" s="38"/>
      <c r="F324" s="39"/>
      <c r="G324" s="40" t="str">
        <f aca="false">IF(OR($E324="",$C324="",$D324=""),"",$E324*$D324*IFERROR(INDEX(Listas!$C$6:$C$20,MATCH($C324,Listas!$B$6:$B$20,0)),0)-$D324*IFERROR(INDEX(Listas!$D$6:$D$20,MATCH($C324,Listas!$B$6:$B$20,0)),0))</f>
        <v/>
      </c>
      <c r="H324" s="41" t="str">
        <f aca="false">IF(OR($F324="",$C324="",$D324=""),"",ABS($F324)*$D324*IFERROR(INDEX(Listas!$C$6:$C$20,MATCH($C324,Listas!$B$6:$B$20,0)),0))</f>
        <v/>
      </c>
      <c r="I324" s="42" t="str">
        <f aca="false">IF(OR($E324="",$F324="",$F324=0),"",$E324/ABS($F324))</f>
        <v/>
      </c>
      <c r="J324" s="43" t="str">
        <f aca="false">IF($B324="","",INDEX(Listas!$G$6:$G$12,WEEKDAY($B324,1)))</f>
        <v/>
      </c>
      <c r="K324" s="43" t="str">
        <f aca="false">IFERROR(IF($L324="","",TEXT(IF($L324&lt;1,HOUR($L324),INT($L324)),"00")&amp;":00"),"")</f>
        <v/>
      </c>
      <c r="L324" s="44"/>
      <c r="M324" s="45"/>
      <c r="N324" s="46"/>
      <c r="O324" s="45"/>
      <c r="P324" s="2"/>
      <c r="Q324" s="2"/>
      <c r="R324" s="2"/>
      <c r="S324" s="2"/>
      <c r="T324" s="2"/>
      <c r="U324" s="47" t="str">
        <f aca="false">IF($G324="","",IF($G324&lt;0,IF(N($U323)=0,1,$U323+1),0))</f>
        <v/>
      </c>
      <c r="V324" s="47" t="str">
        <f aca="false">IF($G324="","",IF($V323="",'Empieza aquí'!$D$8,$V323)+$G324)</f>
        <v/>
      </c>
      <c r="W324" s="47" t="str">
        <f aca="false">IF($V324="","",MAX(IF($W323="",'Empieza aquí'!$D$8,$W323),$V324))</f>
        <v/>
      </c>
      <c r="X324" s="47" t="str">
        <f aca="false">IF($V324="","",$V324-$W324)</f>
        <v/>
      </c>
      <c r="Y324" s="3"/>
      <c r="Z324" s="3"/>
      <c r="AA324" s="3"/>
      <c r="AB324" s="3"/>
      <c r="AC324" s="3"/>
      <c r="AD324" s="3"/>
      <c r="AE324" s="3"/>
      <c r="AF324" s="3"/>
      <c r="AG324" s="3"/>
      <c r="AH324" s="3"/>
    </row>
    <row r="325" customFormat="false" ht="15" hidden="false" customHeight="true" outlineLevel="0" collapsed="false">
      <c r="A325" s="2"/>
      <c r="B325" s="36"/>
      <c r="C325" s="37"/>
      <c r="D325" s="37"/>
      <c r="E325" s="38"/>
      <c r="F325" s="39"/>
      <c r="G325" s="40" t="str">
        <f aca="false">IF(OR($E325="",$C325="",$D325=""),"",$E325*$D325*IFERROR(INDEX(Listas!$C$6:$C$20,MATCH($C325,Listas!$B$6:$B$20,0)),0)-$D325*IFERROR(INDEX(Listas!$D$6:$D$20,MATCH($C325,Listas!$B$6:$B$20,0)),0))</f>
        <v/>
      </c>
      <c r="H325" s="41" t="str">
        <f aca="false">IF(OR($F325="",$C325="",$D325=""),"",ABS($F325)*$D325*IFERROR(INDEX(Listas!$C$6:$C$20,MATCH($C325,Listas!$B$6:$B$20,0)),0))</f>
        <v/>
      </c>
      <c r="I325" s="42" t="str">
        <f aca="false">IF(OR($E325="",$F325="",$F325=0),"",$E325/ABS($F325))</f>
        <v/>
      </c>
      <c r="J325" s="43" t="str">
        <f aca="false">IF($B325="","",INDEX(Listas!$G$6:$G$12,WEEKDAY($B325,1)))</f>
        <v/>
      </c>
      <c r="K325" s="43" t="str">
        <f aca="false">IFERROR(IF($L325="","",TEXT(IF($L325&lt;1,HOUR($L325),INT($L325)),"00")&amp;":00"),"")</f>
        <v/>
      </c>
      <c r="L325" s="44"/>
      <c r="M325" s="45"/>
      <c r="N325" s="46"/>
      <c r="O325" s="45"/>
      <c r="P325" s="2"/>
      <c r="Q325" s="2"/>
      <c r="R325" s="2"/>
      <c r="S325" s="2"/>
      <c r="T325" s="2"/>
      <c r="U325" s="47" t="str">
        <f aca="false">IF($G325="","",IF($G325&lt;0,IF(N($U324)=0,1,$U324+1),0))</f>
        <v/>
      </c>
      <c r="V325" s="47" t="str">
        <f aca="false">IF($G325="","",IF($V324="",'Empieza aquí'!$D$8,$V324)+$G325)</f>
        <v/>
      </c>
      <c r="W325" s="47" t="str">
        <f aca="false">IF($V325="","",MAX(IF($W324="",'Empieza aquí'!$D$8,$W324),$V325))</f>
        <v/>
      </c>
      <c r="X325" s="47" t="str">
        <f aca="false">IF($V325="","",$V325-$W325)</f>
        <v/>
      </c>
      <c r="Y325" s="3"/>
      <c r="Z325" s="3"/>
      <c r="AA325" s="3"/>
      <c r="AB325" s="3"/>
      <c r="AC325" s="3"/>
      <c r="AD325" s="3"/>
      <c r="AE325" s="3"/>
      <c r="AF325" s="3"/>
      <c r="AG325" s="3"/>
      <c r="AH325" s="3"/>
    </row>
    <row r="326" customFormat="false" ht="15" hidden="false" customHeight="true" outlineLevel="0" collapsed="false">
      <c r="A326" s="2"/>
      <c r="B326" s="36"/>
      <c r="C326" s="37"/>
      <c r="D326" s="37"/>
      <c r="E326" s="38"/>
      <c r="F326" s="39"/>
      <c r="G326" s="40" t="str">
        <f aca="false">IF(OR($E326="",$C326="",$D326=""),"",$E326*$D326*IFERROR(INDEX(Listas!$C$6:$C$20,MATCH($C326,Listas!$B$6:$B$20,0)),0)-$D326*IFERROR(INDEX(Listas!$D$6:$D$20,MATCH($C326,Listas!$B$6:$B$20,0)),0))</f>
        <v/>
      </c>
      <c r="H326" s="41" t="str">
        <f aca="false">IF(OR($F326="",$C326="",$D326=""),"",ABS($F326)*$D326*IFERROR(INDEX(Listas!$C$6:$C$20,MATCH($C326,Listas!$B$6:$B$20,0)),0))</f>
        <v/>
      </c>
      <c r="I326" s="42" t="str">
        <f aca="false">IF(OR($E326="",$F326="",$F326=0),"",$E326/ABS($F326))</f>
        <v/>
      </c>
      <c r="J326" s="43" t="str">
        <f aca="false">IF($B326="","",INDEX(Listas!$G$6:$G$12,WEEKDAY($B326,1)))</f>
        <v/>
      </c>
      <c r="K326" s="43" t="str">
        <f aca="false">IFERROR(IF($L326="","",TEXT(IF($L326&lt;1,HOUR($L326),INT($L326)),"00")&amp;":00"),"")</f>
        <v/>
      </c>
      <c r="L326" s="44"/>
      <c r="M326" s="45"/>
      <c r="N326" s="46"/>
      <c r="O326" s="45"/>
      <c r="P326" s="2"/>
      <c r="Q326" s="2"/>
      <c r="R326" s="2"/>
      <c r="S326" s="2"/>
      <c r="T326" s="2"/>
      <c r="U326" s="47" t="str">
        <f aca="false">IF($G326="","",IF($G326&lt;0,IF(N($U325)=0,1,$U325+1),0))</f>
        <v/>
      </c>
      <c r="V326" s="47" t="str">
        <f aca="false">IF($G326="","",IF($V325="",'Empieza aquí'!$D$8,$V325)+$G326)</f>
        <v/>
      </c>
      <c r="W326" s="47" t="str">
        <f aca="false">IF($V326="","",MAX(IF($W325="",'Empieza aquí'!$D$8,$W325),$V326))</f>
        <v/>
      </c>
      <c r="X326" s="47" t="str">
        <f aca="false">IF($V326="","",$V326-$W326)</f>
        <v/>
      </c>
      <c r="Y326" s="3"/>
      <c r="Z326" s="3"/>
      <c r="AA326" s="3"/>
      <c r="AB326" s="3"/>
      <c r="AC326" s="3"/>
      <c r="AD326" s="3"/>
      <c r="AE326" s="3"/>
      <c r="AF326" s="3"/>
      <c r="AG326" s="3"/>
      <c r="AH326" s="3"/>
    </row>
    <row r="327" customFormat="false" ht="15" hidden="false" customHeight="true" outlineLevel="0" collapsed="false">
      <c r="A327" s="2"/>
      <c r="B327" s="36"/>
      <c r="C327" s="37"/>
      <c r="D327" s="37"/>
      <c r="E327" s="38"/>
      <c r="F327" s="39"/>
      <c r="G327" s="40" t="str">
        <f aca="false">IF(OR($E327="",$C327="",$D327=""),"",$E327*$D327*IFERROR(INDEX(Listas!$C$6:$C$20,MATCH($C327,Listas!$B$6:$B$20,0)),0)-$D327*IFERROR(INDEX(Listas!$D$6:$D$20,MATCH($C327,Listas!$B$6:$B$20,0)),0))</f>
        <v/>
      </c>
      <c r="H327" s="41" t="str">
        <f aca="false">IF(OR($F327="",$C327="",$D327=""),"",ABS($F327)*$D327*IFERROR(INDEX(Listas!$C$6:$C$20,MATCH($C327,Listas!$B$6:$B$20,0)),0))</f>
        <v/>
      </c>
      <c r="I327" s="42" t="str">
        <f aca="false">IF(OR($E327="",$F327="",$F327=0),"",$E327/ABS($F327))</f>
        <v/>
      </c>
      <c r="J327" s="43" t="str">
        <f aca="false">IF($B327="","",INDEX(Listas!$G$6:$G$12,WEEKDAY($B327,1)))</f>
        <v/>
      </c>
      <c r="K327" s="43" t="str">
        <f aca="false">IFERROR(IF($L327="","",TEXT(IF($L327&lt;1,HOUR($L327),INT($L327)),"00")&amp;":00"),"")</f>
        <v/>
      </c>
      <c r="L327" s="44"/>
      <c r="M327" s="45"/>
      <c r="N327" s="46"/>
      <c r="O327" s="45"/>
      <c r="P327" s="2"/>
      <c r="Q327" s="2"/>
      <c r="R327" s="2"/>
      <c r="S327" s="2"/>
      <c r="T327" s="2"/>
      <c r="U327" s="47" t="str">
        <f aca="false">IF($G327="","",IF($G327&lt;0,IF(N($U326)=0,1,$U326+1),0))</f>
        <v/>
      </c>
      <c r="V327" s="47" t="str">
        <f aca="false">IF($G327="","",IF($V326="",'Empieza aquí'!$D$8,$V326)+$G327)</f>
        <v/>
      </c>
      <c r="W327" s="47" t="str">
        <f aca="false">IF($V327="","",MAX(IF($W326="",'Empieza aquí'!$D$8,$W326),$V327))</f>
        <v/>
      </c>
      <c r="X327" s="47" t="str">
        <f aca="false">IF($V327="","",$V327-$W327)</f>
        <v/>
      </c>
      <c r="Y327" s="3"/>
      <c r="Z327" s="3"/>
      <c r="AA327" s="3"/>
      <c r="AB327" s="3"/>
      <c r="AC327" s="3"/>
      <c r="AD327" s="3"/>
      <c r="AE327" s="3"/>
      <c r="AF327" s="3"/>
      <c r="AG327" s="3"/>
      <c r="AH327" s="3"/>
    </row>
    <row r="328" customFormat="false" ht="15" hidden="false" customHeight="true" outlineLevel="0" collapsed="false">
      <c r="A328" s="2"/>
      <c r="B328" s="36"/>
      <c r="C328" s="37"/>
      <c r="D328" s="37"/>
      <c r="E328" s="38"/>
      <c r="F328" s="39"/>
      <c r="G328" s="40" t="str">
        <f aca="false">IF(OR($E328="",$C328="",$D328=""),"",$E328*$D328*IFERROR(INDEX(Listas!$C$6:$C$20,MATCH($C328,Listas!$B$6:$B$20,0)),0)-$D328*IFERROR(INDEX(Listas!$D$6:$D$20,MATCH($C328,Listas!$B$6:$B$20,0)),0))</f>
        <v/>
      </c>
      <c r="H328" s="41" t="str">
        <f aca="false">IF(OR($F328="",$C328="",$D328=""),"",ABS($F328)*$D328*IFERROR(INDEX(Listas!$C$6:$C$20,MATCH($C328,Listas!$B$6:$B$20,0)),0))</f>
        <v/>
      </c>
      <c r="I328" s="42" t="str">
        <f aca="false">IF(OR($E328="",$F328="",$F328=0),"",$E328/ABS($F328))</f>
        <v/>
      </c>
      <c r="J328" s="43" t="str">
        <f aca="false">IF($B328="","",INDEX(Listas!$G$6:$G$12,WEEKDAY($B328,1)))</f>
        <v/>
      </c>
      <c r="K328" s="43" t="str">
        <f aca="false">IFERROR(IF($L328="","",TEXT(IF($L328&lt;1,HOUR($L328),INT($L328)),"00")&amp;":00"),"")</f>
        <v/>
      </c>
      <c r="L328" s="44"/>
      <c r="M328" s="45"/>
      <c r="N328" s="46"/>
      <c r="O328" s="45"/>
      <c r="P328" s="2"/>
      <c r="Q328" s="2"/>
      <c r="R328" s="2"/>
      <c r="S328" s="2"/>
      <c r="T328" s="2"/>
      <c r="U328" s="47" t="str">
        <f aca="false">IF($G328="","",IF($G328&lt;0,IF(N($U327)=0,1,$U327+1),0))</f>
        <v/>
      </c>
      <c r="V328" s="47" t="str">
        <f aca="false">IF($G328="","",IF($V327="",'Empieza aquí'!$D$8,$V327)+$G328)</f>
        <v/>
      </c>
      <c r="W328" s="47" t="str">
        <f aca="false">IF($V328="","",MAX(IF($W327="",'Empieza aquí'!$D$8,$W327),$V328))</f>
        <v/>
      </c>
      <c r="X328" s="47" t="str">
        <f aca="false">IF($V328="","",$V328-$W328)</f>
        <v/>
      </c>
      <c r="Y328" s="3"/>
      <c r="Z328" s="3"/>
      <c r="AA328" s="3"/>
      <c r="AB328" s="3"/>
      <c r="AC328" s="3"/>
      <c r="AD328" s="3"/>
      <c r="AE328" s="3"/>
      <c r="AF328" s="3"/>
      <c r="AG328" s="3"/>
      <c r="AH328" s="3"/>
    </row>
    <row r="329" customFormat="false" ht="15" hidden="false" customHeight="true" outlineLevel="0" collapsed="false">
      <c r="A329" s="2"/>
      <c r="B329" s="36"/>
      <c r="C329" s="37"/>
      <c r="D329" s="37"/>
      <c r="E329" s="38"/>
      <c r="F329" s="39"/>
      <c r="G329" s="40" t="str">
        <f aca="false">IF(OR($E329="",$C329="",$D329=""),"",$E329*$D329*IFERROR(INDEX(Listas!$C$6:$C$20,MATCH($C329,Listas!$B$6:$B$20,0)),0)-$D329*IFERROR(INDEX(Listas!$D$6:$D$20,MATCH($C329,Listas!$B$6:$B$20,0)),0))</f>
        <v/>
      </c>
      <c r="H329" s="41" t="str">
        <f aca="false">IF(OR($F329="",$C329="",$D329=""),"",ABS($F329)*$D329*IFERROR(INDEX(Listas!$C$6:$C$20,MATCH($C329,Listas!$B$6:$B$20,0)),0))</f>
        <v/>
      </c>
      <c r="I329" s="42" t="str">
        <f aca="false">IF(OR($E329="",$F329="",$F329=0),"",$E329/ABS($F329))</f>
        <v/>
      </c>
      <c r="J329" s="43" t="str">
        <f aca="false">IF($B329="","",INDEX(Listas!$G$6:$G$12,WEEKDAY($B329,1)))</f>
        <v/>
      </c>
      <c r="K329" s="43" t="str">
        <f aca="false">IFERROR(IF($L329="","",TEXT(IF($L329&lt;1,HOUR($L329),INT($L329)),"00")&amp;":00"),"")</f>
        <v/>
      </c>
      <c r="L329" s="44"/>
      <c r="M329" s="45"/>
      <c r="N329" s="46"/>
      <c r="O329" s="45"/>
      <c r="P329" s="2"/>
      <c r="Q329" s="2"/>
      <c r="R329" s="2"/>
      <c r="S329" s="2"/>
      <c r="T329" s="2"/>
      <c r="U329" s="47" t="str">
        <f aca="false">IF($G329="","",IF($G329&lt;0,IF(N($U328)=0,1,$U328+1),0))</f>
        <v/>
      </c>
      <c r="V329" s="47" t="str">
        <f aca="false">IF($G329="","",IF($V328="",'Empieza aquí'!$D$8,$V328)+$G329)</f>
        <v/>
      </c>
      <c r="W329" s="47" t="str">
        <f aca="false">IF($V329="","",MAX(IF($W328="",'Empieza aquí'!$D$8,$W328),$V329))</f>
        <v/>
      </c>
      <c r="X329" s="47" t="str">
        <f aca="false">IF($V329="","",$V329-$W329)</f>
        <v/>
      </c>
      <c r="Y329" s="3"/>
      <c r="Z329" s="3"/>
      <c r="AA329" s="3"/>
      <c r="AB329" s="3"/>
      <c r="AC329" s="3"/>
      <c r="AD329" s="3"/>
      <c r="AE329" s="3"/>
      <c r="AF329" s="3"/>
      <c r="AG329" s="3"/>
      <c r="AH329" s="3"/>
    </row>
    <row r="330" customFormat="false" ht="15" hidden="false" customHeight="true" outlineLevel="0" collapsed="false">
      <c r="A330" s="2"/>
      <c r="B330" s="36"/>
      <c r="C330" s="37"/>
      <c r="D330" s="37"/>
      <c r="E330" s="38"/>
      <c r="F330" s="39"/>
      <c r="G330" s="40" t="str">
        <f aca="false">IF(OR($E330="",$C330="",$D330=""),"",$E330*$D330*IFERROR(INDEX(Listas!$C$6:$C$20,MATCH($C330,Listas!$B$6:$B$20,0)),0)-$D330*IFERROR(INDEX(Listas!$D$6:$D$20,MATCH($C330,Listas!$B$6:$B$20,0)),0))</f>
        <v/>
      </c>
      <c r="H330" s="41" t="str">
        <f aca="false">IF(OR($F330="",$C330="",$D330=""),"",ABS($F330)*$D330*IFERROR(INDEX(Listas!$C$6:$C$20,MATCH($C330,Listas!$B$6:$B$20,0)),0))</f>
        <v/>
      </c>
      <c r="I330" s="42" t="str">
        <f aca="false">IF(OR($E330="",$F330="",$F330=0),"",$E330/ABS($F330))</f>
        <v/>
      </c>
      <c r="J330" s="43" t="str">
        <f aca="false">IF($B330="","",INDEX(Listas!$G$6:$G$12,WEEKDAY($B330,1)))</f>
        <v/>
      </c>
      <c r="K330" s="43" t="str">
        <f aca="false">IFERROR(IF($L330="","",TEXT(IF($L330&lt;1,HOUR($L330),INT($L330)),"00")&amp;":00"),"")</f>
        <v/>
      </c>
      <c r="L330" s="44"/>
      <c r="M330" s="45"/>
      <c r="N330" s="46"/>
      <c r="O330" s="45"/>
      <c r="P330" s="2"/>
      <c r="Q330" s="2"/>
      <c r="R330" s="2"/>
      <c r="S330" s="2"/>
      <c r="T330" s="2"/>
      <c r="U330" s="47" t="str">
        <f aca="false">IF($G330="","",IF($G330&lt;0,IF(N($U329)=0,1,$U329+1),0))</f>
        <v/>
      </c>
      <c r="V330" s="47" t="str">
        <f aca="false">IF($G330="","",IF($V329="",'Empieza aquí'!$D$8,$V329)+$G330)</f>
        <v/>
      </c>
      <c r="W330" s="47" t="str">
        <f aca="false">IF($V330="","",MAX(IF($W329="",'Empieza aquí'!$D$8,$W329),$V330))</f>
        <v/>
      </c>
      <c r="X330" s="47" t="str">
        <f aca="false">IF($V330="","",$V330-$W330)</f>
        <v/>
      </c>
      <c r="Y330" s="3"/>
      <c r="Z330" s="3"/>
      <c r="AA330" s="3"/>
      <c r="AB330" s="3"/>
      <c r="AC330" s="3"/>
      <c r="AD330" s="3"/>
      <c r="AE330" s="3"/>
      <c r="AF330" s="3"/>
      <c r="AG330" s="3"/>
      <c r="AH330" s="3"/>
    </row>
    <row r="331" customFormat="false" ht="15" hidden="false" customHeight="true" outlineLevel="0" collapsed="false">
      <c r="A331" s="2"/>
      <c r="B331" s="36"/>
      <c r="C331" s="37"/>
      <c r="D331" s="37"/>
      <c r="E331" s="38"/>
      <c r="F331" s="39"/>
      <c r="G331" s="40" t="str">
        <f aca="false">IF(OR($E331="",$C331="",$D331=""),"",$E331*$D331*IFERROR(INDEX(Listas!$C$6:$C$20,MATCH($C331,Listas!$B$6:$B$20,0)),0)-$D331*IFERROR(INDEX(Listas!$D$6:$D$20,MATCH($C331,Listas!$B$6:$B$20,0)),0))</f>
        <v/>
      </c>
      <c r="H331" s="41" t="str">
        <f aca="false">IF(OR($F331="",$C331="",$D331=""),"",ABS($F331)*$D331*IFERROR(INDEX(Listas!$C$6:$C$20,MATCH($C331,Listas!$B$6:$B$20,0)),0))</f>
        <v/>
      </c>
      <c r="I331" s="42" t="str">
        <f aca="false">IF(OR($E331="",$F331="",$F331=0),"",$E331/ABS($F331))</f>
        <v/>
      </c>
      <c r="J331" s="43" t="str">
        <f aca="false">IF($B331="","",INDEX(Listas!$G$6:$G$12,WEEKDAY($B331,1)))</f>
        <v/>
      </c>
      <c r="K331" s="43" t="str">
        <f aca="false">IFERROR(IF($L331="","",TEXT(IF($L331&lt;1,HOUR($L331),INT($L331)),"00")&amp;":00"),"")</f>
        <v/>
      </c>
      <c r="L331" s="44"/>
      <c r="M331" s="45"/>
      <c r="N331" s="46"/>
      <c r="O331" s="45"/>
      <c r="P331" s="2"/>
      <c r="Q331" s="2"/>
      <c r="R331" s="2"/>
      <c r="S331" s="2"/>
      <c r="T331" s="2"/>
      <c r="U331" s="47" t="str">
        <f aca="false">IF($G331="","",IF($G331&lt;0,IF(N($U330)=0,1,$U330+1),0))</f>
        <v/>
      </c>
      <c r="V331" s="47" t="str">
        <f aca="false">IF($G331="","",IF($V330="",'Empieza aquí'!$D$8,$V330)+$G331)</f>
        <v/>
      </c>
      <c r="W331" s="47" t="str">
        <f aca="false">IF($V331="","",MAX(IF($W330="",'Empieza aquí'!$D$8,$W330),$V331))</f>
        <v/>
      </c>
      <c r="X331" s="47" t="str">
        <f aca="false">IF($V331="","",$V331-$W331)</f>
        <v/>
      </c>
      <c r="Y331" s="3"/>
      <c r="Z331" s="3"/>
      <c r="AA331" s="3"/>
      <c r="AB331" s="3"/>
      <c r="AC331" s="3"/>
      <c r="AD331" s="3"/>
      <c r="AE331" s="3"/>
      <c r="AF331" s="3"/>
      <c r="AG331" s="3"/>
      <c r="AH331" s="3"/>
    </row>
    <row r="332" customFormat="false" ht="15" hidden="false" customHeight="true" outlineLevel="0" collapsed="false">
      <c r="A332" s="2"/>
      <c r="B332" s="36"/>
      <c r="C332" s="37"/>
      <c r="D332" s="37"/>
      <c r="E332" s="38"/>
      <c r="F332" s="39"/>
      <c r="G332" s="40" t="str">
        <f aca="false">IF(OR($E332="",$C332="",$D332=""),"",$E332*$D332*IFERROR(INDEX(Listas!$C$6:$C$20,MATCH($C332,Listas!$B$6:$B$20,0)),0)-$D332*IFERROR(INDEX(Listas!$D$6:$D$20,MATCH($C332,Listas!$B$6:$B$20,0)),0))</f>
        <v/>
      </c>
      <c r="H332" s="41" t="str">
        <f aca="false">IF(OR($F332="",$C332="",$D332=""),"",ABS($F332)*$D332*IFERROR(INDEX(Listas!$C$6:$C$20,MATCH($C332,Listas!$B$6:$B$20,0)),0))</f>
        <v/>
      </c>
      <c r="I332" s="42" t="str">
        <f aca="false">IF(OR($E332="",$F332="",$F332=0),"",$E332/ABS($F332))</f>
        <v/>
      </c>
      <c r="J332" s="43" t="str">
        <f aca="false">IF($B332="","",INDEX(Listas!$G$6:$G$12,WEEKDAY($B332,1)))</f>
        <v/>
      </c>
      <c r="K332" s="43" t="str">
        <f aca="false">IFERROR(IF($L332="","",TEXT(IF($L332&lt;1,HOUR($L332),INT($L332)),"00")&amp;":00"),"")</f>
        <v/>
      </c>
      <c r="L332" s="44"/>
      <c r="M332" s="45"/>
      <c r="N332" s="46"/>
      <c r="O332" s="45"/>
      <c r="P332" s="2"/>
      <c r="Q332" s="2"/>
      <c r="R332" s="2"/>
      <c r="S332" s="2"/>
      <c r="T332" s="2"/>
      <c r="U332" s="47" t="str">
        <f aca="false">IF($G332="","",IF($G332&lt;0,IF(N($U331)=0,1,$U331+1),0))</f>
        <v/>
      </c>
      <c r="V332" s="47" t="str">
        <f aca="false">IF($G332="","",IF($V331="",'Empieza aquí'!$D$8,$V331)+$G332)</f>
        <v/>
      </c>
      <c r="W332" s="47" t="str">
        <f aca="false">IF($V332="","",MAX(IF($W331="",'Empieza aquí'!$D$8,$W331),$V332))</f>
        <v/>
      </c>
      <c r="X332" s="47" t="str">
        <f aca="false">IF($V332="","",$V332-$W332)</f>
        <v/>
      </c>
      <c r="Y332" s="3"/>
      <c r="Z332" s="3"/>
      <c r="AA332" s="3"/>
      <c r="AB332" s="3"/>
      <c r="AC332" s="3"/>
      <c r="AD332" s="3"/>
      <c r="AE332" s="3"/>
      <c r="AF332" s="3"/>
      <c r="AG332" s="3"/>
      <c r="AH332" s="3"/>
    </row>
    <row r="333" customFormat="false" ht="15" hidden="false" customHeight="true" outlineLevel="0" collapsed="false">
      <c r="A333" s="2"/>
      <c r="B333" s="36"/>
      <c r="C333" s="37"/>
      <c r="D333" s="37"/>
      <c r="E333" s="38"/>
      <c r="F333" s="39"/>
      <c r="G333" s="40" t="str">
        <f aca="false">IF(OR($E333="",$C333="",$D333=""),"",$E333*$D333*IFERROR(INDEX(Listas!$C$6:$C$20,MATCH($C333,Listas!$B$6:$B$20,0)),0)-$D333*IFERROR(INDEX(Listas!$D$6:$D$20,MATCH($C333,Listas!$B$6:$B$20,0)),0))</f>
        <v/>
      </c>
      <c r="H333" s="41" t="str">
        <f aca="false">IF(OR($F333="",$C333="",$D333=""),"",ABS($F333)*$D333*IFERROR(INDEX(Listas!$C$6:$C$20,MATCH($C333,Listas!$B$6:$B$20,0)),0))</f>
        <v/>
      </c>
      <c r="I333" s="42" t="str">
        <f aca="false">IF(OR($E333="",$F333="",$F333=0),"",$E333/ABS($F333))</f>
        <v/>
      </c>
      <c r="J333" s="43" t="str">
        <f aca="false">IF($B333="","",INDEX(Listas!$G$6:$G$12,WEEKDAY($B333,1)))</f>
        <v/>
      </c>
      <c r="K333" s="43" t="str">
        <f aca="false">IFERROR(IF($L333="","",TEXT(IF($L333&lt;1,HOUR($L333),INT($L333)),"00")&amp;":00"),"")</f>
        <v/>
      </c>
      <c r="L333" s="44"/>
      <c r="M333" s="45"/>
      <c r="N333" s="46"/>
      <c r="O333" s="45"/>
      <c r="P333" s="2"/>
      <c r="Q333" s="2"/>
      <c r="R333" s="2"/>
      <c r="S333" s="2"/>
      <c r="T333" s="2"/>
      <c r="U333" s="47" t="str">
        <f aca="false">IF($G333="","",IF($G333&lt;0,IF(N($U332)=0,1,$U332+1),0))</f>
        <v/>
      </c>
      <c r="V333" s="47" t="str">
        <f aca="false">IF($G333="","",IF($V332="",'Empieza aquí'!$D$8,$V332)+$G333)</f>
        <v/>
      </c>
      <c r="W333" s="47" t="str">
        <f aca="false">IF($V333="","",MAX(IF($W332="",'Empieza aquí'!$D$8,$W332),$V333))</f>
        <v/>
      </c>
      <c r="X333" s="47" t="str">
        <f aca="false">IF($V333="","",$V333-$W333)</f>
        <v/>
      </c>
      <c r="Y333" s="3"/>
      <c r="Z333" s="3"/>
      <c r="AA333" s="3"/>
      <c r="AB333" s="3"/>
      <c r="AC333" s="3"/>
      <c r="AD333" s="3"/>
      <c r="AE333" s="3"/>
      <c r="AF333" s="3"/>
      <c r="AG333" s="3"/>
      <c r="AH333" s="3"/>
    </row>
    <row r="334" customFormat="false" ht="15" hidden="false" customHeight="true" outlineLevel="0" collapsed="false">
      <c r="A334" s="2"/>
      <c r="B334" s="36"/>
      <c r="C334" s="37"/>
      <c r="D334" s="37"/>
      <c r="E334" s="38"/>
      <c r="F334" s="39"/>
      <c r="G334" s="40" t="str">
        <f aca="false">IF(OR($E334="",$C334="",$D334=""),"",$E334*$D334*IFERROR(INDEX(Listas!$C$6:$C$20,MATCH($C334,Listas!$B$6:$B$20,0)),0)-$D334*IFERROR(INDEX(Listas!$D$6:$D$20,MATCH($C334,Listas!$B$6:$B$20,0)),0))</f>
        <v/>
      </c>
      <c r="H334" s="41" t="str">
        <f aca="false">IF(OR($F334="",$C334="",$D334=""),"",ABS($F334)*$D334*IFERROR(INDEX(Listas!$C$6:$C$20,MATCH($C334,Listas!$B$6:$B$20,0)),0))</f>
        <v/>
      </c>
      <c r="I334" s="42" t="str">
        <f aca="false">IF(OR($E334="",$F334="",$F334=0),"",$E334/ABS($F334))</f>
        <v/>
      </c>
      <c r="J334" s="43" t="str">
        <f aca="false">IF($B334="","",INDEX(Listas!$G$6:$G$12,WEEKDAY($B334,1)))</f>
        <v/>
      </c>
      <c r="K334" s="43" t="str">
        <f aca="false">IFERROR(IF($L334="","",TEXT(IF($L334&lt;1,HOUR($L334),INT($L334)),"00")&amp;":00"),"")</f>
        <v/>
      </c>
      <c r="L334" s="44"/>
      <c r="M334" s="45"/>
      <c r="N334" s="46"/>
      <c r="O334" s="45"/>
      <c r="P334" s="2"/>
      <c r="Q334" s="2"/>
      <c r="R334" s="2"/>
      <c r="S334" s="2"/>
      <c r="T334" s="2"/>
      <c r="U334" s="47" t="str">
        <f aca="false">IF($G334="","",IF($G334&lt;0,IF(N($U333)=0,1,$U333+1),0))</f>
        <v/>
      </c>
      <c r="V334" s="47" t="str">
        <f aca="false">IF($G334="","",IF($V333="",'Empieza aquí'!$D$8,$V333)+$G334)</f>
        <v/>
      </c>
      <c r="W334" s="47" t="str">
        <f aca="false">IF($V334="","",MAX(IF($W333="",'Empieza aquí'!$D$8,$W333),$V334))</f>
        <v/>
      </c>
      <c r="X334" s="47" t="str">
        <f aca="false">IF($V334="","",$V334-$W334)</f>
        <v/>
      </c>
      <c r="Y334" s="3"/>
      <c r="Z334" s="3"/>
      <c r="AA334" s="3"/>
      <c r="AB334" s="3"/>
      <c r="AC334" s="3"/>
      <c r="AD334" s="3"/>
      <c r="AE334" s="3"/>
      <c r="AF334" s="3"/>
      <c r="AG334" s="3"/>
      <c r="AH334" s="3"/>
    </row>
    <row r="335" customFormat="false" ht="15" hidden="false" customHeight="true" outlineLevel="0" collapsed="false">
      <c r="A335" s="2"/>
      <c r="B335" s="36"/>
      <c r="C335" s="37"/>
      <c r="D335" s="37"/>
      <c r="E335" s="38"/>
      <c r="F335" s="39"/>
      <c r="G335" s="40" t="str">
        <f aca="false">IF(OR($E335="",$C335="",$D335=""),"",$E335*$D335*IFERROR(INDEX(Listas!$C$6:$C$20,MATCH($C335,Listas!$B$6:$B$20,0)),0)-$D335*IFERROR(INDEX(Listas!$D$6:$D$20,MATCH($C335,Listas!$B$6:$B$20,0)),0))</f>
        <v/>
      </c>
      <c r="H335" s="41" t="str">
        <f aca="false">IF(OR($F335="",$C335="",$D335=""),"",ABS($F335)*$D335*IFERROR(INDEX(Listas!$C$6:$C$20,MATCH($C335,Listas!$B$6:$B$20,0)),0))</f>
        <v/>
      </c>
      <c r="I335" s="42" t="str">
        <f aca="false">IF(OR($E335="",$F335="",$F335=0),"",$E335/ABS($F335))</f>
        <v/>
      </c>
      <c r="J335" s="43" t="str">
        <f aca="false">IF($B335="","",INDEX(Listas!$G$6:$G$12,WEEKDAY($B335,1)))</f>
        <v/>
      </c>
      <c r="K335" s="43" t="str">
        <f aca="false">IFERROR(IF($L335="","",TEXT(IF($L335&lt;1,HOUR($L335),INT($L335)),"00")&amp;":00"),"")</f>
        <v/>
      </c>
      <c r="L335" s="44"/>
      <c r="M335" s="45"/>
      <c r="N335" s="46"/>
      <c r="O335" s="45"/>
      <c r="P335" s="2"/>
      <c r="Q335" s="2"/>
      <c r="R335" s="2"/>
      <c r="S335" s="2"/>
      <c r="T335" s="2"/>
      <c r="U335" s="47" t="str">
        <f aca="false">IF($G335="","",IF($G335&lt;0,IF(N($U334)=0,1,$U334+1),0))</f>
        <v/>
      </c>
      <c r="V335" s="47" t="str">
        <f aca="false">IF($G335="","",IF($V334="",'Empieza aquí'!$D$8,$V334)+$G335)</f>
        <v/>
      </c>
      <c r="W335" s="47" t="str">
        <f aca="false">IF($V335="","",MAX(IF($W334="",'Empieza aquí'!$D$8,$W334),$V335))</f>
        <v/>
      </c>
      <c r="X335" s="47" t="str">
        <f aca="false">IF($V335="","",$V335-$W335)</f>
        <v/>
      </c>
      <c r="Y335" s="3"/>
      <c r="Z335" s="3"/>
      <c r="AA335" s="3"/>
      <c r="AB335" s="3"/>
      <c r="AC335" s="3"/>
      <c r="AD335" s="3"/>
      <c r="AE335" s="3"/>
      <c r="AF335" s="3"/>
      <c r="AG335" s="3"/>
      <c r="AH335" s="3"/>
    </row>
    <row r="336" customFormat="false" ht="15" hidden="false" customHeight="true" outlineLevel="0" collapsed="false">
      <c r="A336" s="2"/>
      <c r="B336" s="36"/>
      <c r="C336" s="37"/>
      <c r="D336" s="37"/>
      <c r="E336" s="38"/>
      <c r="F336" s="39"/>
      <c r="G336" s="40" t="str">
        <f aca="false">IF(OR($E336="",$C336="",$D336=""),"",$E336*$D336*IFERROR(INDEX(Listas!$C$6:$C$20,MATCH($C336,Listas!$B$6:$B$20,0)),0)-$D336*IFERROR(INDEX(Listas!$D$6:$D$20,MATCH($C336,Listas!$B$6:$B$20,0)),0))</f>
        <v/>
      </c>
      <c r="H336" s="41" t="str">
        <f aca="false">IF(OR($F336="",$C336="",$D336=""),"",ABS($F336)*$D336*IFERROR(INDEX(Listas!$C$6:$C$20,MATCH($C336,Listas!$B$6:$B$20,0)),0))</f>
        <v/>
      </c>
      <c r="I336" s="42" t="str">
        <f aca="false">IF(OR($E336="",$F336="",$F336=0),"",$E336/ABS($F336))</f>
        <v/>
      </c>
      <c r="J336" s="43" t="str">
        <f aca="false">IF($B336="","",INDEX(Listas!$G$6:$G$12,WEEKDAY($B336,1)))</f>
        <v/>
      </c>
      <c r="K336" s="43" t="str">
        <f aca="false">IFERROR(IF($L336="","",TEXT(IF($L336&lt;1,HOUR($L336),INT($L336)),"00")&amp;":00"),"")</f>
        <v/>
      </c>
      <c r="L336" s="44"/>
      <c r="M336" s="45"/>
      <c r="N336" s="46"/>
      <c r="O336" s="45"/>
      <c r="P336" s="2"/>
      <c r="Q336" s="2"/>
      <c r="R336" s="2"/>
      <c r="S336" s="2"/>
      <c r="T336" s="2"/>
      <c r="U336" s="47" t="str">
        <f aca="false">IF($G336="","",IF($G336&lt;0,IF(N($U335)=0,1,$U335+1),0))</f>
        <v/>
      </c>
      <c r="V336" s="47" t="str">
        <f aca="false">IF($G336="","",IF($V335="",'Empieza aquí'!$D$8,$V335)+$G336)</f>
        <v/>
      </c>
      <c r="W336" s="47" t="str">
        <f aca="false">IF($V336="","",MAX(IF($W335="",'Empieza aquí'!$D$8,$W335),$V336))</f>
        <v/>
      </c>
      <c r="X336" s="47" t="str">
        <f aca="false">IF($V336="","",$V336-$W336)</f>
        <v/>
      </c>
      <c r="Y336" s="3"/>
      <c r="Z336" s="3"/>
      <c r="AA336" s="3"/>
      <c r="AB336" s="3"/>
      <c r="AC336" s="3"/>
      <c r="AD336" s="3"/>
      <c r="AE336" s="3"/>
      <c r="AF336" s="3"/>
      <c r="AG336" s="3"/>
      <c r="AH336" s="3"/>
    </row>
    <row r="337" customFormat="false" ht="15" hidden="false" customHeight="true" outlineLevel="0" collapsed="false">
      <c r="A337" s="2"/>
      <c r="B337" s="36"/>
      <c r="C337" s="37"/>
      <c r="D337" s="37"/>
      <c r="E337" s="38"/>
      <c r="F337" s="39"/>
      <c r="G337" s="40" t="str">
        <f aca="false">IF(OR($E337="",$C337="",$D337=""),"",$E337*$D337*IFERROR(INDEX(Listas!$C$6:$C$20,MATCH($C337,Listas!$B$6:$B$20,0)),0)-$D337*IFERROR(INDEX(Listas!$D$6:$D$20,MATCH($C337,Listas!$B$6:$B$20,0)),0))</f>
        <v/>
      </c>
      <c r="H337" s="41" t="str">
        <f aca="false">IF(OR($F337="",$C337="",$D337=""),"",ABS($F337)*$D337*IFERROR(INDEX(Listas!$C$6:$C$20,MATCH($C337,Listas!$B$6:$B$20,0)),0))</f>
        <v/>
      </c>
      <c r="I337" s="42" t="str">
        <f aca="false">IF(OR($E337="",$F337="",$F337=0),"",$E337/ABS($F337))</f>
        <v/>
      </c>
      <c r="J337" s="43" t="str">
        <f aca="false">IF($B337="","",INDEX(Listas!$G$6:$G$12,WEEKDAY($B337,1)))</f>
        <v/>
      </c>
      <c r="K337" s="43" t="str">
        <f aca="false">IFERROR(IF($L337="","",TEXT(IF($L337&lt;1,HOUR($L337),INT($L337)),"00")&amp;":00"),"")</f>
        <v/>
      </c>
      <c r="L337" s="44"/>
      <c r="M337" s="45"/>
      <c r="N337" s="46"/>
      <c r="O337" s="45"/>
      <c r="P337" s="2"/>
      <c r="Q337" s="2"/>
      <c r="R337" s="2"/>
      <c r="S337" s="2"/>
      <c r="T337" s="2"/>
      <c r="U337" s="47" t="str">
        <f aca="false">IF($G337="","",IF($G337&lt;0,IF(N($U336)=0,1,$U336+1),0))</f>
        <v/>
      </c>
      <c r="V337" s="47" t="str">
        <f aca="false">IF($G337="","",IF($V336="",'Empieza aquí'!$D$8,$V336)+$G337)</f>
        <v/>
      </c>
      <c r="W337" s="47" t="str">
        <f aca="false">IF($V337="","",MAX(IF($W336="",'Empieza aquí'!$D$8,$W336),$V337))</f>
        <v/>
      </c>
      <c r="X337" s="47" t="str">
        <f aca="false">IF($V337="","",$V337-$W337)</f>
        <v/>
      </c>
      <c r="Y337" s="3"/>
      <c r="Z337" s="3"/>
      <c r="AA337" s="3"/>
      <c r="AB337" s="3"/>
      <c r="AC337" s="3"/>
      <c r="AD337" s="3"/>
      <c r="AE337" s="3"/>
      <c r="AF337" s="3"/>
      <c r="AG337" s="3"/>
      <c r="AH337" s="3"/>
    </row>
    <row r="338" customFormat="false" ht="15" hidden="false" customHeight="true" outlineLevel="0" collapsed="false">
      <c r="A338" s="2"/>
      <c r="B338" s="36"/>
      <c r="C338" s="37"/>
      <c r="D338" s="37"/>
      <c r="E338" s="38"/>
      <c r="F338" s="39"/>
      <c r="G338" s="40" t="str">
        <f aca="false">IF(OR($E338="",$C338="",$D338=""),"",$E338*$D338*IFERROR(INDEX(Listas!$C$6:$C$20,MATCH($C338,Listas!$B$6:$B$20,0)),0)-$D338*IFERROR(INDEX(Listas!$D$6:$D$20,MATCH($C338,Listas!$B$6:$B$20,0)),0))</f>
        <v/>
      </c>
      <c r="H338" s="41" t="str">
        <f aca="false">IF(OR($F338="",$C338="",$D338=""),"",ABS($F338)*$D338*IFERROR(INDEX(Listas!$C$6:$C$20,MATCH($C338,Listas!$B$6:$B$20,0)),0))</f>
        <v/>
      </c>
      <c r="I338" s="42" t="str">
        <f aca="false">IF(OR($E338="",$F338="",$F338=0),"",$E338/ABS($F338))</f>
        <v/>
      </c>
      <c r="J338" s="43" t="str">
        <f aca="false">IF($B338="","",INDEX(Listas!$G$6:$G$12,WEEKDAY($B338,1)))</f>
        <v/>
      </c>
      <c r="K338" s="43" t="str">
        <f aca="false">IFERROR(IF($L338="","",TEXT(IF($L338&lt;1,HOUR($L338),INT($L338)),"00")&amp;":00"),"")</f>
        <v/>
      </c>
      <c r="L338" s="44"/>
      <c r="M338" s="45"/>
      <c r="N338" s="46"/>
      <c r="O338" s="45"/>
      <c r="P338" s="2"/>
      <c r="Q338" s="2"/>
      <c r="R338" s="2"/>
      <c r="S338" s="2"/>
      <c r="T338" s="2"/>
      <c r="U338" s="47" t="str">
        <f aca="false">IF($G338="","",IF($G338&lt;0,IF(N($U337)=0,1,$U337+1),0))</f>
        <v/>
      </c>
      <c r="V338" s="47" t="str">
        <f aca="false">IF($G338="","",IF($V337="",'Empieza aquí'!$D$8,$V337)+$G338)</f>
        <v/>
      </c>
      <c r="W338" s="47" t="str">
        <f aca="false">IF($V338="","",MAX(IF($W337="",'Empieza aquí'!$D$8,$W337),$V338))</f>
        <v/>
      </c>
      <c r="X338" s="47" t="str">
        <f aca="false">IF($V338="","",$V338-$W338)</f>
        <v/>
      </c>
      <c r="Y338" s="3"/>
      <c r="Z338" s="3"/>
      <c r="AA338" s="3"/>
      <c r="AB338" s="3"/>
      <c r="AC338" s="3"/>
      <c r="AD338" s="3"/>
      <c r="AE338" s="3"/>
      <c r="AF338" s="3"/>
      <c r="AG338" s="3"/>
      <c r="AH338" s="3"/>
    </row>
    <row r="339" customFormat="false" ht="15" hidden="false" customHeight="true" outlineLevel="0" collapsed="false">
      <c r="A339" s="2"/>
      <c r="B339" s="36"/>
      <c r="C339" s="37"/>
      <c r="D339" s="37"/>
      <c r="E339" s="38"/>
      <c r="F339" s="39"/>
      <c r="G339" s="40" t="str">
        <f aca="false">IF(OR($E339="",$C339="",$D339=""),"",$E339*$D339*IFERROR(INDEX(Listas!$C$6:$C$20,MATCH($C339,Listas!$B$6:$B$20,0)),0)-$D339*IFERROR(INDEX(Listas!$D$6:$D$20,MATCH($C339,Listas!$B$6:$B$20,0)),0))</f>
        <v/>
      </c>
      <c r="H339" s="41" t="str">
        <f aca="false">IF(OR($F339="",$C339="",$D339=""),"",ABS($F339)*$D339*IFERROR(INDEX(Listas!$C$6:$C$20,MATCH($C339,Listas!$B$6:$B$20,0)),0))</f>
        <v/>
      </c>
      <c r="I339" s="42" t="str">
        <f aca="false">IF(OR($E339="",$F339="",$F339=0),"",$E339/ABS($F339))</f>
        <v/>
      </c>
      <c r="J339" s="43" t="str">
        <f aca="false">IF($B339="","",INDEX(Listas!$G$6:$G$12,WEEKDAY($B339,1)))</f>
        <v/>
      </c>
      <c r="K339" s="43" t="str">
        <f aca="false">IFERROR(IF($L339="","",TEXT(IF($L339&lt;1,HOUR($L339),INT($L339)),"00")&amp;":00"),"")</f>
        <v/>
      </c>
      <c r="L339" s="44"/>
      <c r="M339" s="45"/>
      <c r="N339" s="46"/>
      <c r="O339" s="45"/>
      <c r="P339" s="2"/>
      <c r="Q339" s="2"/>
      <c r="R339" s="2"/>
      <c r="S339" s="2"/>
      <c r="T339" s="2"/>
      <c r="U339" s="47" t="str">
        <f aca="false">IF($G339="","",IF($G339&lt;0,IF(N($U338)=0,1,$U338+1),0))</f>
        <v/>
      </c>
      <c r="V339" s="47" t="str">
        <f aca="false">IF($G339="","",IF($V338="",'Empieza aquí'!$D$8,$V338)+$G339)</f>
        <v/>
      </c>
      <c r="W339" s="47" t="str">
        <f aca="false">IF($V339="","",MAX(IF($W338="",'Empieza aquí'!$D$8,$W338),$V339))</f>
        <v/>
      </c>
      <c r="X339" s="47" t="str">
        <f aca="false">IF($V339="","",$V339-$W339)</f>
        <v/>
      </c>
      <c r="Y339" s="3"/>
      <c r="Z339" s="3"/>
      <c r="AA339" s="3"/>
      <c r="AB339" s="3"/>
      <c r="AC339" s="3"/>
      <c r="AD339" s="3"/>
      <c r="AE339" s="3"/>
      <c r="AF339" s="3"/>
      <c r="AG339" s="3"/>
      <c r="AH339" s="3"/>
    </row>
    <row r="340" customFormat="false" ht="15" hidden="false" customHeight="true" outlineLevel="0" collapsed="false">
      <c r="A340" s="2"/>
      <c r="B340" s="36"/>
      <c r="C340" s="37"/>
      <c r="D340" s="37"/>
      <c r="E340" s="38"/>
      <c r="F340" s="39"/>
      <c r="G340" s="40" t="str">
        <f aca="false">IF(OR($E340="",$C340="",$D340=""),"",$E340*$D340*IFERROR(INDEX(Listas!$C$6:$C$20,MATCH($C340,Listas!$B$6:$B$20,0)),0)-$D340*IFERROR(INDEX(Listas!$D$6:$D$20,MATCH($C340,Listas!$B$6:$B$20,0)),0))</f>
        <v/>
      </c>
      <c r="H340" s="41" t="str">
        <f aca="false">IF(OR($F340="",$C340="",$D340=""),"",ABS($F340)*$D340*IFERROR(INDEX(Listas!$C$6:$C$20,MATCH($C340,Listas!$B$6:$B$20,0)),0))</f>
        <v/>
      </c>
      <c r="I340" s="42" t="str">
        <f aca="false">IF(OR($E340="",$F340="",$F340=0),"",$E340/ABS($F340))</f>
        <v/>
      </c>
      <c r="J340" s="43" t="str">
        <f aca="false">IF($B340="","",INDEX(Listas!$G$6:$G$12,WEEKDAY($B340,1)))</f>
        <v/>
      </c>
      <c r="K340" s="43" t="str">
        <f aca="false">IFERROR(IF($L340="","",TEXT(IF($L340&lt;1,HOUR($L340),INT($L340)),"00")&amp;":00"),"")</f>
        <v/>
      </c>
      <c r="L340" s="44"/>
      <c r="M340" s="45"/>
      <c r="N340" s="46"/>
      <c r="O340" s="45"/>
      <c r="P340" s="2"/>
      <c r="Q340" s="2"/>
      <c r="R340" s="2"/>
      <c r="S340" s="2"/>
      <c r="T340" s="2"/>
      <c r="U340" s="47" t="str">
        <f aca="false">IF($G340="","",IF($G340&lt;0,IF(N($U339)=0,1,$U339+1),0))</f>
        <v/>
      </c>
      <c r="V340" s="47" t="str">
        <f aca="false">IF($G340="","",IF($V339="",'Empieza aquí'!$D$8,$V339)+$G340)</f>
        <v/>
      </c>
      <c r="W340" s="47" t="str">
        <f aca="false">IF($V340="","",MAX(IF($W339="",'Empieza aquí'!$D$8,$W339),$V340))</f>
        <v/>
      </c>
      <c r="X340" s="47" t="str">
        <f aca="false">IF($V340="","",$V340-$W340)</f>
        <v/>
      </c>
      <c r="Y340" s="3"/>
      <c r="Z340" s="3"/>
      <c r="AA340" s="3"/>
      <c r="AB340" s="3"/>
      <c r="AC340" s="3"/>
      <c r="AD340" s="3"/>
      <c r="AE340" s="3"/>
      <c r="AF340" s="3"/>
      <c r="AG340" s="3"/>
      <c r="AH340" s="3"/>
    </row>
    <row r="341" customFormat="false" ht="15" hidden="false" customHeight="true" outlineLevel="0" collapsed="false">
      <c r="A341" s="2"/>
      <c r="B341" s="36"/>
      <c r="C341" s="37"/>
      <c r="D341" s="37"/>
      <c r="E341" s="38"/>
      <c r="F341" s="39"/>
      <c r="G341" s="40" t="str">
        <f aca="false">IF(OR($E341="",$C341="",$D341=""),"",$E341*$D341*IFERROR(INDEX(Listas!$C$6:$C$20,MATCH($C341,Listas!$B$6:$B$20,0)),0)-$D341*IFERROR(INDEX(Listas!$D$6:$D$20,MATCH($C341,Listas!$B$6:$B$20,0)),0))</f>
        <v/>
      </c>
      <c r="H341" s="41" t="str">
        <f aca="false">IF(OR($F341="",$C341="",$D341=""),"",ABS($F341)*$D341*IFERROR(INDEX(Listas!$C$6:$C$20,MATCH($C341,Listas!$B$6:$B$20,0)),0))</f>
        <v/>
      </c>
      <c r="I341" s="42" t="str">
        <f aca="false">IF(OR($E341="",$F341="",$F341=0),"",$E341/ABS($F341))</f>
        <v/>
      </c>
      <c r="J341" s="43" t="str">
        <f aca="false">IF($B341="","",INDEX(Listas!$G$6:$G$12,WEEKDAY($B341,1)))</f>
        <v/>
      </c>
      <c r="K341" s="43" t="str">
        <f aca="false">IFERROR(IF($L341="","",TEXT(IF($L341&lt;1,HOUR($L341),INT($L341)),"00")&amp;":00"),"")</f>
        <v/>
      </c>
      <c r="L341" s="44"/>
      <c r="M341" s="45"/>
      <c r="N341" s="46"/>
      <c r="O341" s="45"/>
      <c r="P341" s="2"/>
      <c r="Q341" s="2"/>
      <c r="R341" s="2"/>
      <c r="S341" s="2"/>
      <c r="T341" s="2"/>
      <c r="U341" s="47" t="str">
        <f aca="false">IF($G341="","",IF($G341&lt;0,IF(N($U340)=0,1,$U340+1),0))</f>
        <v/>
      </c>
      <c r="V341" s="47" t="str">
        <f aca="false">IF($G341="","",IF($V340="",'Empieza aquí'!$D$8,$V340)+$G341)</f>
        <v/>
      </c>
      <c r="W341" s="47" t="str">
        <f aca="false">IF($V341="","",MAX(IF($W340="",'Empieza aquí'!$D$8,$W340),$V341))</f>
        <v/>
      </c>
      <c r="X341" s="47" t="str">
        <f aca="false">IF($V341="","",$V341-$W341)</f>
        <v/>
      </c>
      <c r="Y341" s="3"/>
      <c r="Z341" s="3"/>
      <c r="AA341" s="3"/>
      <c r="AB341" s="3"/>
      <c r="AC341" s="3"/>
      <c r="AD341" s="3"/>
      <c r="AE341" s="3"/>
      <c r="AF341" s="3"/>
      <c r="AG341" s="3"/>
      <c r="AH341" s="3"/>
    </row>
    <row r="342" customFormat="false" ht="15" hidden="false" customHeight="true" outlineLevel="0" collapsed="false">
      <c r="A342" s="2"/>
      <c r="B342" s="36"/>
      <c r="C342" s="37"/>
      <c r="D342" s="37"/>
      <c r="E342" s="38"/>
      <c r="F342" s="39"/>
      <c r="G342" s="40" t="str">
        <f aca="false">IF(OR($E342="",$C342="",$D342=""),"",$E342*$D342*IFERROR(INDEX(Listas!$C$6:$C$20,MATCH($C342,Listas!$B$6:$B$20,0)),0)-$D342*IFERROR(INDEX(Listas!$D$6:$D$20,MATCH($C342,Listas!$B$6:$B$20,0)),0))</f>
        <v/>
      </c>
      <c r="H342" s="41" t="str">
        <f aca="false">IF(OR($F342="",$C342="",$D342=""),"",ABS($F342)*$D342*IFERROR(INDEX(Listas!$C$6:$C$20,MATCH($C342,Listas!$B$6:$B$20,0)),0))</f>
        <v/>
      </c>
      <c r="I342" s="42" t="str">
        <f aca="false">IF(OR($E342="",$F342="",$F342=0),"",$E342/ABS($F342))</f>
        <v/>
      </c>
      <c r="J342" s="43" t="str">
        <f aca="false">IF($B342="","",INDEX(Listas!$G$6:$G$12,WEEKDAY($B342,1)))</f>
        <v/>
      </c>
      <c r="K342" s="43" t="str">
        <f aca="false">IFERROR(IF($L342="","",TEXT(IF($L342&lt;1,HOUR($L342),INT($L342)),"00")&amp;":00"),"")</f>
        <v/>
      </c>
      <c r="L342" s="44"/>
      <c r="M342" s="45"/>
      <c r="N342" s="46"/>
      <c r="O342" s="45"/>
      <c r="P342" s="2"/>
      <c r="Q342" s="2"/>
      <c r="R342" s="2"/>
      <c r="S342" s="2"/>
      <c r="T342" s="2"/>
      <c r="U342" s="47" t="str">
        <f aca="false">IF($G342="","",IF($G342&lt;0,IF(N($U341)=0,1,$U341+1),0))</f>
        <v/>
      </c>
      <c r="V342" s="47" t="str">
        <f aca="false">IF($G342="","",IF($V341="",'Empieza aquí'!$D$8,$V341)+$G342)</f>
        <v/>
      </c>
      <c r="W342" s="47" t="str">
        <f aca="false">IF($V342="","",MAX(IF($W341="",'Empieza aquí'!$D$8,$W341),$V342))</f>
        <v/>
      </c>
      <c r="X342" s="47" t="str">
        <f aca="false">IF($V342="","",$V342-$W342)</f>
        <v/>
      </c>
      <c r="Y342" s="3"/>
      <c r="Z342" s="3"/>
      <c r="AA342" s="3"/>
      <c r="AB342" s="3"/>
      <c r="AC342" s="3"/>
      <c r="AD342" s="3"/>
      <c r="AE342" s="3"/>
      <c r="AF342" s="3"/>
      <c r="AG342" s="3"/>
      <c r="AH342" s="3"/>
    </row>
    <row r="343" customFormat="false" ht="15" hidden="false" customHeight="true" outlineLevel="0" collapsed="false">
      <c r="A343" s="2"/>
      <c r="B343" s="36"/>
      <c r="C343" s="37"/>
      <c r="D343" s="37"/>
      <c r="E343" s="38"/>
      <c r="F343" s="39"/>
      <c r="G343" s="40" t="str">
        <f aca="false">IF(OR($E343="",$C343="",$D343=""),"",$E343*$D343*IFERROR(INDEX(Listas!$C$6:$C$20,MATCH($C343,Listas!$B$6:$B$20,0)),0)-$D343*IFERROR(INDEX(Listas!$D$6:$D$20,MATCH($C343,Listas!$B$6:$B$20,0)),0))</f>
        <v/>
      </c>
      <c r="H343" s="41" t="str">
        <f aca="false">IF(OR($F343="",$C343="",$D343=""),"",ABS($F343)*$D343*IFERROR(INDEX(Listas!$C$6:$C$20,MATCH($C343,Listas!$B$6:$B$20,0)),0))</f>
        <v/>
      </c>
      <c r="I343" s="42" t="str">
        <f aca="false">IF(OR($E343="",$F343="",$F343=0),"",$E343/ABS($F343))</f>
        <v/>
      </c>
      <c r="J343" s="43" t="str">
        <f aca="false">IF($B343="","",INDEX(Listas!$G$6:$G$12,WEEKDAY($B343,1)))</f>
        <v/>
      </c>
      <c r="K343" s="43" t="str">
        <f aca="false">IFERROR(IF($L343="","",TEXT(IF($L343&lt;1,HOUR($L343),INT($L343)),"00")&amp;":00"),"")</f>
        <v/>
      </c>
      <c r="L343" s="44"/>
      <c r="M343" s="45"/>
      <c r="N343" s="46"/>
      <c r="O343" s="45"/>
      <c r="P343" s="2"/>
      <c r="Q343" s="2"/>
      <c r="R343" s="2"/>
      <c r="S343" s="2"/>
      <c r="T343" s="2"/>
      <c r="U343" s="47" t="str">
        <f aca="false">IF($G343="","",IF($G343&lt;0,IF(N($U342)=0,1,$U342+1),0))</f>
        <v/>
      </c>
      <c r="V343" s="47" t="str">
        <f aca="false">IF($G343="","",IF($V342="",'Empieza aquí'!$D$8,$V342)+$G343)</f>
        <v/>
      </c>
      <c r="W343" s="47" t="str">
        <f aca="false">IF($V343="","",MAX(IF($W342="",'Empieza aquí'!$D$8,$W342),$V343))</f>
        <v/>
      </c>
      <c r="X343" s="47" t="str">
        <f aca="false">IF($V343="","",$V343-$W343)</f>
        <v/>
      </c>
      <c r="Y343" s="3"/>
      <c r="Z343" s="3"/>
      <c r="AA343" s="3"/>
      <c r="AB343" s="3"/>
      <c r="AC343" s="3"/>
      <c r="AD343" s="3"/>
      <c r="AE343" s="3"/>
      <c r="AF343" s="3"/>
      <c r="AG343" s="3"/>
      <c r="AH343" s="3"/>
    </row>
    <row r="344" customFormat="false" ht="15" hidden="false" customHeight="true" outlineLevel="0" collapsed="false">
      <c r="A344" s="2"/>
      <c r="B344" s="36"/>
      <c r="C344" s="37"/>
      <c r="D344" s="37"/>
      <c r="E344" s="38"/>
      <c r="F344" s="39"/>
      <c r="G344" s="40" t="str">
        <f aca="false">IF(OR($E344="",$C344="",$D344=""),"",$E344*$D344*IFERROR(INDEX(Listas!$C$6:$C$20,MATCH($C344,Listas!$B$6:$B$20,0)),0)-$D344*IFERROR(INDEX(Listas!$D$6:$D$20,MATCH($C344,Listas!$B$6:$B$20,0)),0))</f>
        <v/>
      </c>
      <c r="H344" s="41" t="str">
        <f aca="false">IF(OR($F344="",$C344="",$D344=""),"",ABS($F344)*$D344*IFERROR(INDEX(Listas!$C$6:$C$20,MATCH($C344,Listas!$B$6:$B$20,0)),0))</f>
        <v/>
      </c>
      <c r="I344" s="42" t="str">
        <f aca="false">IF(OR($E344="",$F344="",$F344=0),"",$E344/ABS($F344))</f>
        <v/>
      </c>
      <c r="J344" s="43" t="str">
        <f aca="false">IF($B344="","",INDEX(Listas!$G$6:$G$12,WEEKDAY($B344,1)))</f>
        <v/>
      </c>
      <c r="K344" s="43" t="str">
        <f aca="false">IFERROR(IF($L344="","",TEXT(IF($L344&lt;1,HOUR($L344),INT($L344)),"00")&amp;":00"),"")</f>
        <v/>
      </c>
      <c r="L344" s="44"/>
      <c r="M344" s="45"/>
      <c r="N344" s="46"/>
      <c r="O344" s="45"/>
      <c r="P344" s="2"/>
      <c r="Q344" s="2"/>
      <c r="R344" s="2"/>
      <c r="S344" s="2"/>
      <c r="T344" s="2"/>
      <c r="U344" s="47" t="str">
        <f aca="false">IF($G344="","",IF($G344&lt;0,IF(N($U343)=0,1,$U343+1),0))</f>
        <v/>
      </c>
      <c r="V344" s="47" t="str">
        <f aca="false">IF($G344="","",IF($V343="",'Empieza aquí'!$D$8,$V343)+$G344)</f>
        <v/>
      </c>
      <c r="W344" s="47" t="str">
        <f aca="false">IF($V344="","",MAX(IF($W343="",'Empieza aquí'!$D$8,$W343),$V344))</f>
        <v/>
      </c>
      <c r="X344" s="47" t="str">
        <f aca="false">IF($V344="","",$V344-$W344)</f>
        <v/>
      </c>
      <c r="Y344" s="3"/>
      <c r="Z344" s="3"/>
      <c r="AA344" s="3"/>
      <c r="AB344" s="3"/>
      <c r="AC344" s="3"/>
      <c r="AD344" s="3"/>
      <c r="AE344" s="3"/>
      <c r="AF344" s="3"/>
      <c r="AG344" s="3"/>
      <c r="AH344" s="3"/>
    </row>
    <row r="345" customFormat="false" ht="15" hidden="false" customHeight="true" outlineLevel="0" collapsed="false">
      <c r="A345" s="2"/>
      <c r="B345" s="36"/>
      <c r="C345" s="37"/>
      <c r="D345" s="37"/>
      <c r="E345" s="38"/>
      <c r="F345" s="39"/>
      <c r="G345" s="40" t="str">
        <f aca="false">IF(OR($E345="",$C345="",$D345=""),"",$E345*$D345*IFERROR(INDEX(Listas!$C$6:$C$20,MATCH($C345,Listas!$B$6:$B$20,0)),0)-$D345*IFERROR(INDEX(Listas!$D$6:$D$20,MATCH($C345,Listas!$B$6:$B$20,0)),0))</f>
        <v/>
      </c>
      <c r="H345" s="41" t="str">
        <f aca="false">IF(OR($F345="",$C345="",$D345=""),"",ABS($F345)*$D345*IFERROR(INDEX(Listas!$C$6:$C$20,MATCH($C345,Listas!$B$6:$B$20,0)),0))</f>
        <v/>
      </c>
      <c r="I345" s="42" t="str">
        <f aca="false">IF(OR($E345="",$F345="",$F345=0),"",$E345/ABS($F345))</f>
        <v/>
      </c>
      <c r="J345" s="43" t="str">
        <f aca="false">IF($B345="","",INDEX(Listas!$G$6:$G$12,WEEKDAY($B345,1)))</f>
        <v/>
      </c>
      <c r="K345" s="43" t="str">
        <f aca="false">IFERROR(IF($L345="","",TEXT(IF($L345&lt;1,HOUR($L345),INT($L345)),"00")&amp;":00"),"")</f>
        <v/>
      </c>
      <c r="L345" s="44"/>
      <c r="M345" s="45"/>
      <c r="N345" s="46"/>
      <c r="O345" s="45"/>
      <c r="P345" s="2"/>
      <c r="Q345" s="2"/>
      <c r="R345" s="2"/>
      <c r="S345" s="2"/>
      <c r="T345" s="2"/>
      <c r="U345" s="47" t="str">
        <f aca="false">IF($G345="","",IF($G345&lt;0,IF(N($U344)=0,1,$U344+1),0))</f>
        <v/>
      </c>
      <c r="V345" s="47" t="str">
        <f aca="false">IF($G345="","",IF($V344="",'Empieza aquí'!$D$8,$V344)+$G345)</f>
        <v/>
      </c>
      <c r="W345" s="47" t="str">
        <f aca="false">IF($V345="","",MAX(IF($W344="",'Empieza aquí'!$D$8,$W344),$V345))</f>
        <v/>
      </c>
      <c r="X345" s="47" t="str">
        <f aca="false">IF($V345="","",$V345-$W345)</f>
        <v/>
      </c>
      <c r="Y345" s="3"/>
      <c r="Z345" s="3"/>
      <c r="AA345" s="3"/>
      <c r="AB345" s="3"/>
      <c r="AC345" s="3"/>
      <c r="AD345" s="3"/>
      <c r="AE345" s="3"/>
      <c r="AF345" s="3"/>
      <c r="AG345" s="3"/>
      <c r="AH345" s="3"/>
    </row>
    <row r="346" customFormat="false" ht="15" hidden="false" customHeight="true" outlineLevel="0" collapsed="false">
      <c r="A346" s="2"/>
      <c r="B346" s="36"/>
      <c r="C346" s="37"/>
      <c r="D346" s="37"/>
      <c r="E346" s="38"/>
      <c r="F346" s="39"/>
      <c r="G346" s="40" t="str">
        <f aca="false">IF(OR($E346="",$C346="",$D346=""),"",$E346*$D346*IFERROR(INDEX(Listas!$C$6:$C$20,MATCH($C346,Listas!$B$6:$B$20,0)),0)-$D346*IFERROR(INDEX(Listas!$D$6:$D$20,MATCH($C346,Listas!$B$6:$B$20,0)),0))</f>
        <v/>
      </c>
      <c r="H346" s="41" t="str">
        <f aca="false">IF(OR($F346="",$C346="",$D346=""),"",ABS($F346)*$D346*IFERROR(INDEX(Listas!$C$6:$C$20,MATCH($C346,Listas!$B$6:$B$20,0)),0))</f>
        <v/>
      </c>
      <c r="I346" s="42" t="str">
        <f aca="false">IF(OR($E346="",$F346="",$F346=0),"",$E346/ABS($F346))</f>
        <v/>
      </c>
      <c r="J346" s="43" t="str">
        <f aca="false">IF($B346="","",INDEX(Listas!$G$6:$G$12,WEEKDAY($B346,1)))</f>
        <v/>
      </c>
      <c r="K346" s="43" t="str">
        <f aca="false">IFERROR(IF($L346="","",TEXT(IF($L346&lt;1,HOUR($L346),INT($L346)),"00")&amp;":00"),"")</f>
        <v/>
      </c>
      <c r="L346" s="44"/>
      <c r="M346" s="45"/>
      <c r="N346" s="46"/>
      <c r="O346" s="45"/>
      <c r="P346" s="2"/>
      <c r="Q346" s="2"/>
      <c r="R346" s="2"/>
      <c r="S346" s="2"/>
      <c r="T346" s="2"/>
      <c r="U346" s="47" t="str">
        <f aca="false">IF($G346="","",IF($G346&lt;0,IF(N($U345)=0,1,$U345+1),0))</f>
        <v/>
      </c>
      <c r="V346" s="47" t="str">
        <f aca="false">IF($G346="","",IF($V345="",'Empieza aquí'!$D$8,$V345)+$G346)</f>
        <v/>
      </c>
      <c r="W346" s="47" t="str">
        <f aca="false">IF($V346="","",MAX(IF($W345="",'Empieza aquí'!$D$8,$W345),$V346))</f>
        <v/>
      </c>
      <c r="X346" s="47" t="str">
        <f aca="false">IF($V346="","",$V346-$W346)</f>
        <v/>
      </c>
      <c r="Y346" s="3"/>
      <c r="Z346" s="3"/>
      <c r="AA346" s="3"/>
      <c r="AB346" s="3"/>
      <c r="AC346" s="3"/>
      <c r="AD346" s="3"/>
      <c r="AE346" s="3"/>
      <c r="AF346" s="3"/>
      <c r="AG346" s="3"/>
      <c r="AH346" s="3"/>
    </row>
    <row r="347" customFormat="false" ht="15" hidden="false" customHeight="true" outlineLevel="0" collapsed="false">
      <c r="A347" s="2"/>
      <c r="B347" s="36"/>
      <c r="C347" s="37"/>
      <c r="D347" s="37"/>
      <c r="E347" s="38"/>
      <c r="F347" s="39"/>
      <c r="G347" s="40" t="str">
        <f aca="false">IF(OR($E347="",$C347="",$D347=""),"",$E347*$D347*IFERROR(INDEX(Listas!$C$6:$C$20,MATCH($C347,Listas!$B$6:$B$20,0)),0)-$D347*IFERROR(INDEX(Listas!$D$6:$D$20,MATCH($C347,Listas!$B$6:$B$20,0)),0))</f>
        <v/>
      </c>
      <c r="H347" s="41" t="str">
        <f aca="false">IF(OR($F347="",$C347="",$D347=""),"",ABS($F347)*$D347*IFERROR(INDEX(Listas!$C$6:$C$20,MATCH($C347,Listas!$B$6:$B$20,0)),0))</f>
        <v/>
      </c>
      <c r="I347" s="42" t="str">
        <f aca="false">IF(OR($E347="",$F347="",$F347=0),"",$E347/ABS($F347))</f>
        <v/>
      </c>
      <c r="J347" s="43" t="str">
        <f aca="false">IF($B347="","",INDEX(Listas!$G$6:$G$12,WEEKDAY($B347,1)))</f>
        <v/>
      </c>
      <c r="K347" s="43" t="str">
        <f aca="false">IFERROR(IF($L347="","",TEXT(IF($L347&lt;1,HOUR($L347),INT($L347)),"00")&amp;":00"),"")</f>
        <v/>
      </c>
      <c r="L347" s="44"/>
      <c r="M347" s="45"/>
      <c r="N347" s="46"/>
      <c r="O347" s="45"/>
      <c r="P347" s="2"/>
      <c r="Q347" s="2"/>
      <c r="R347" s="2"/>
      <c r="S347" s="2"/>
      <c r="T347" s="2"/>
      <c r="U347" s="47" t="str">
        <f aca="false">IF($G347="","",IF($G347&lt;0,IF(N($U346)=0,1,$U346+1),0))</f>
        <v/>
      </c>
      <c r="V347" s="47" t="str">
        <f aca="false">IF($G347="","",IF($V346="",'Empieza aquí'!$D$8,$V346)+$G347)</f>
        <v/>
      </c>
      <c r="W347" s="47" t="str">
        <f aca="false">IF($V347="","",MAX(IF($W346="",'Empieza aquí'!$D$8,$W346),$V347))</f>
        <v/>
      </c>
      <c r="X347" s="47" t="str">
        <f aca="false">IF($V347="","",$V347-$W347)</f>
        <v/>
      </c>
      <c r="Y347" s="3"/>
      <c r="Z347" s="3"/>
      <c r="AA347" s="3"/>
      <c r="AB347" s="3"/>
      <c r="AC347" s="3"/>
      <c r="AD347" s="3"/>
      <c r="AE347" s="3"/>
      <c r="AF347" s="3"/>
      <c r="AG347" s="3"/>
      <c r="AH347" s="3"/>
    </row>
    <row r="348" customFormat="false" ht="15" hidden="false" customHeight="true" outlineLevel="0" collapsed="false">
      <c r="A348" s="2"/>
      <c r="B348" s="36"/>
      <c r="C348" s="37"/>
      <c r="D348" s="37"/>
      <c r="E348" s="38"/>
      <c r="F348" s="39"/>
      <c r="G348" s="40" t="str">
        <f aca="false">IF(OR($E348="",$C348="",$D348=""),"",$E348*$D348*IFERROR(INDEX(Listas!$C$6:$C$20,MATCH($C348,Listas!$B$6:$B$20,0)),0)-$D348*IFERROR(INDEX(Listas!$D$6:$D$20,MATCH($C348,Listas!$B$6:$B$20,0)),0))</f>
        <v/>
      </c>
      <c r="H348" s="41" t="str">
        <f aca="false">IF(OR($F348="",$C348="",$D348=""),"",ABS($F348)*$D348*IFERROR(INDEX(Listas!$C$6:$C$20,MATCH($C348,Listas!$B$6:$B$20,0)),0))</f>
        <v/>
      </c>
      <c r="I348" s="42" t="str">
        <f aca="false">IF(OR($E348="",$F348="",$F348=0),"",$E348/ABS($F348))</f>
        <v/>
      </c>
      <c r="J348" s="43" t="str">
        <f aca="false">IF($B348="","",INDEX(Listas!$G$6:$G$12,WEEKDAY($B348,1)))</f>
        <v/>
      </c>
      <c r="K348" s="43" t="str">
        <f aca="false">IFERROR(IF($L348="","",TEXT(IF($L348&lt;1,HOUR($L348),INT($L348)),"00")&amp;":00"),"")</f>
        <v/>
      </c>
      <c r="L348" s="44"/>
      <c r="M348" s="45"/>
      <c r="N348" s="46"/>
      <c r="O348" s="45"/>
      <c r="P348" s="2"/>
      <c r="Q348" s="2"/>
      <c r="R348" s="2"/>
      <c r="S348" s="2"/>
      <c r="T348" s="2"/>
      <c r="U348" s="47" t="str">
        <f aca="false">IF($G348="","",IF($G348&lt;0,IF(N($U347)=0,1,$U347+1),0))</f>
        <v/>
      </c>
      <c r="V348" s="47" t="str">
        <f aca="false">IF($G348="","",IF($V347="",'Empieza aquí'!$D$8,$V347)+$G348)</f>
        <v/>
      </c>
      <c r="W348" s="47" t="str">
        <f aca="false">IF($V348="","",MAX(IF($W347="",'Empieza aquí'!$D$8,$W347),$V348))</f>
        <v/>
      </c>
      <c r="X348" s="47" t="str">
        <f aca="false">IF($V348="","",$V348-$W348)</f>
        <v/>
      </c>
      <c r="Y348" s="3"/>
      <c r="Z348" s="3"/>
      <c r="AA348" s="3"/>
      <c r="AB348" s="3"/>
      <c r="AC348" s="3"/>
      <c r="AD348" s="3"/>
      <c r="AE348" s="3"/>
      <c r="AF348" s="3"/>
      <c r="AG348" s="3"/>
      <c r="AH348" s="3"/>
    </row>
    <row r="349" customFormat="false" ht="15" hidden="false" customHeight="true" outlineLevel="0" collapsed="false">
      <c r="A349" s="2"/>
      <c r="B349" s="36"/>
      <c r="C349" s="37"/>
      <c r="D349" s="37"/>
      <c r="E349" s="38"/>
      <c r="F349" s="39"/>
      <c r="G349" s="40" t="str">
        <f aca="false">IF(OR($E349="",$C349="",$D349=""),"",$E349*$D349*IFERROR(INDEX(Listas!$C$6:$C$20,MATCH($C349,Listas!$B$6:$B$20,0)),0)-$D349*IFERROR(INDEX(Listas!$D$6:$D$20,MATCH($C349,Listas!$B$6:$B$20,0)),0))</f>
        <v/>
      </c>
      <c r="H349" s="41" t="str">
        <f aca="false">IF(OR($F349="",$C349="",$D349=""),"",ABS($F349)*$D349*IFERROR(INDEX(Listas!$C$6:$C$20,MATCH($C349,Listas!$B$6:$B$20,0)),0))</f>
        <v/>
      </c>
      <c r="I349" s="42" t="str">
        <f aca="false">IF(OR($E349="",$F349="",$F349=0),"",$E349/ABS($F349))</f>
        <v/>
      </c>
      <c r="J349" s="43" t="str">
        <f aca="false">IF($B349="","",INDEX(Listas!$G$6:$G$12,WEEKDAY($B349,1)))</f>
        <v/>
      </c>
      <c r="K349" s="43" t="str">
        <f aca="false">IFERROR(IF($L349="","",TEXT(IF($L349&lt;1,HOUR($L349),INT($L349)),"00")&amp;":00"),"")</f>
        <v/>
      </c>
      <c r="L349" s="44"/>
      <c r="M349" s="45"/>
      <c r="N349" s="46"/>
      <c r="O349" s="45"/>
      <c r="P349" s="2"/>
      <c r="Q349" s="2"/>
      <c r="R349" s="2"/>
      <c r="S349" s="2"/>
      <c r="T349" s="2"/>
      <c r="U349" s="47" t="str">
        <f aca="false">IF($G349="","",IF($G349&lt;0,IF(N($U348)=0,1,$U348+1),0))</f>
        <v/>
      </c>
      <c r="V349" s="47" t="str">
        <f aca="false">IF($G349="","",IF($V348="",'Empieza aquí'!$D$8,$V348)+$G349)</f>
        <v/>
      </c>
      <c r="W349" s="47" t="str">
        <f aca="false">IF($V349="","",MAX(IF($W348="",'Empieza aquí'!$D$8,$W348),$V349))</f>
        <v/>
      </c>
      <c r="X349" s="47" t="str">
        <f aca="false">IF($V349="","",$V349-$W349)</f>
        <v/>
      </c>
      <c r="Y349" s="3"/>
      <c r="Z349" s="3"/>
      <c r="AA349" s="3"/>
      <c r="AB349" s="3"/>
      <c r="AC349" s="3"/>
      <c r="AD349" s="3"/>
      <c r="AE349" s="3"/>
      <c r="AF349" s="3"/>
      <c r="AG349" s="3"/>
      <c r="AH349" s="3"/>
    </row>
    <row r="350" customFormat="false" ht="15" hidden="false" customHeight="true" outlineLevel="0" collapsed="false">
      <c r="A350" s="2"/>
      <c r="B350" s="36"/>
      <c r="C350" s="37"/>
      <c r="D350" s="37"/>
      <c r="E350" s="38"/>
      <c r="F350" s="39"/>
      <c r="G350" s="40" t="str">
        <f aca="false">IF(OR($E350="",$C350="",$D350=""),"",$E350*$D350*IFERROR(INDEX(Listas!$C$6:$C$20,MATCH($C350,Listas!$B$6:$B$20,0)),0)-$D350*IFERROR(INDEX(Listas!$D$6:$D$20,MATCH($C350,Listas!$B$6:$B$20,0)),0))</f>
        <v/>
      </c>
      <c r="H350" s="41" t="str">
        <f aca="false">IF(OR($F350="",$C350="",$D350=""),"",ABS($F350)*$D350*IFERROR(INDEX(Listas!$C$6:$C$20,MATCH($C350,Listas!$B$6:$B$20,0)),0))</f>
        <v/>
      </c>
      <c r="I350" s="42" t="str">
        <f aca="false">IF(OR($E350="",$F350="",$F350=0),"",$E350/ABS($F350))</f>
        <v/>
      </c>
      <c r="J350" s="43" t="str">
        <f aca="false">IF($B350="","",INDEX(Listas!$G$6:$G$12,WEEKDAY($B350,1)))</f>
        <v/>
      </c>
      <c r="K350" s="43" t="str">
        <f aca="false">IFERROR(IF($L350="","",TEXT(IF($L350&lt;1,HOUR($L350),INT($L350)),"00")&amp;":00"),"")</f>
        <v/>
      </c>
      <c r="L350" s="44"/>
      <c r="M350" s="45"/>
      <c r="N350" s="46"/>
      <c r="O350" s="45"/>
      <c r="P350" s="2"/>
      <c r="Q350" s="2"/>
      <c r="R350" s="2"/>
      <c r="S350" s="2"/>
      <c r="T350" s="2"/>
      <c r="U350" s="47" t="str">
        <f aca="false">IF($G350="","",IF($G350&lt;0,IF(N($U349)=0,1,$U349+1),0))</f>
        <v/>
      </c>
      <c r="V350" s="47" t="str">
        <f aca="false">IF($G350="","",IF($V349="",'Empieza aquí'!$D$8,$V349)+$G350)</f>
        <v/>
      </c>
      <c r="W350" s="47" t="str">
        <f aca="false">IF($V350="","",MAX(IF($W349="",'Empieza aquí'!$D$8,$W349),$V350))</f>
        <v/>
      </c>
      <c r="X350" s="47" t="str">
        <f aca="false">IF($V350="","",$V350-$W350)</f>
        <v/>
      </c>
      <c r="Y350" s="3"/>
      <c r="Z350" s="3"/>
      <c r="AA350" s="3"/>
      <c r="AB350" s="3"/>
      <c r="AC350" s="3"/>
      <c r="AD350" s="3"/>
      <c r="AE350" s="3"/>
      <c r="AF350" s="3"/>
      <c r="AG350" s="3"/>
      <c r="AH350" s="3"/>
    </row>
    <row r="351" customFormat="false" ht="15" hidden="false" customHeight="true" outlineLevel="0" collapsed="false">
      <c r="A351" s="2"/>
      <c r="B351" s="36"/>
      <c r="C351" s="37"/>
      <c r="D351" s="37"/>
      <c r="E351" s="38"/>
      <c r="F351" s="39"/>
      <c r="G351" s="40" t="str">
        <f aca="false">IF(OR($E351="",$C351="",$D351=""),"",$E351*$D351*IFERROR(INDEX(Listas!$C$6:$C$20,MATCH($C351,Listas!$B$6:$B$20,0)),0)-$D351*IFERROR(INDEX(Listas!$D$6:$D$20,MATCH($C351,Listas!$B$6:$B$20,0)),0))</f>
        <v/>
      </c>
      <c r="H351" s="41" t="str">
        <f aca="false">IF(OR($F351="",$C351="",$D351=""),"",ABS($F351)*$D351*IFERROR(INDEX(Listas!$C$6:$C$20,MATCH($C351,Listas!$B$6:$B$20,0)),0))</f>
        <v/>
      </c>
      <c r="I351" s="42" t="str">
        <f aca="false">IF(OR($E351="",$F351="",$F351=0),"",$E351/ABS($F351))</f>
        <v/>
      </c>
      <c r="J351" s="43" t="str">
        <f aca="false">IF($B351="","",INDEX(Listas!$G$6:$G$12,WEEKDAY($B351,1)))</f>
        <v/>
      </c>
      <c r="K351" s="43" t="str">
        <f aca="false">IFERROR(IF($L351="","",TEXT(IF($L351&lt;1,HOUR($L351),INT($L351)),"00")&amp;":00"),"")</f>
        <v/>
      </c>
      <c r="L351" s="44"/>
      <c r="M351" s="45"/>
      <c r="N351" s="46"/>
      <c r="O351" s="45"/>
      <c r="P351" s="2"/>
      <c r="Q351" s="2"/>
      <c r="R351" s="2"/>
      <c r="S351" s="2"/>
      <c r="T351" s="2"/>
      <c r="U351" s="47" t="str">
        <f aca="false">IF($G351="","",IF($G351&lt;0,IF(N($U350)=0,1,$U350+1),0))</f>
        <v/>
      </c>
      <c r="V351" s="47" t="str">
        <f aca="false">IF($G351="","",IF($V350="",'Empieza aquí'!$D$8,$V350)+$G351)</f>
        <v/>
      </c>
      <c r="W351" s="47" t="str">
        <f aca="false">IF($V351="","",MAX(IF($W350="",'Empieza aquí'!$D$8,$W350),$V351))</f>
        <v/>
      </c>
      <c r="X351" s="47" t="str">
        <f aca="false">IF($V351="","",$V351-$W351)</f>
        <v/>
      </c>
      <c r="Y351" s="3"/>
      <c r="Z351" s="3"/>
      <c r="AA351" s="3"/>
      <c r="AB351" s="3"/>
      <c r="AC351" s="3"/>
      <c r="AD351" s="3"/>
      <c r="AE351" s="3"/>
      <c r="AF351" s="3"/>
      <c r="AG351" s="3"/>
      <c r="AH351" s="3"/>
    </row>
    <row r="352" customFormat="false" ht="15" hidden="false" customHeight="true" outlineLevel="0" collapsed="false">
      <c r="A352" s="2"/>
      <c r="B352" s="36"/>
      <c r="C352" s="37"/>
      <c r="D352" s="37"/>
      <c r="E352" s="38"/>
      <c r="F352" s="39"/>
      <c r="G352" s="40" t="str">
        <f aca="false">IF(OR($E352="",$C352="",$D352=""),"",$E352*$D352*IFERROR(INDEX(Listas!$C$6:$C$20,MATCH($C352,Listas!$B$6:$B$20,0)),0)-$D352*IFERROR(INDEX(Listas!$D$6:$D$20,MATCH($C352,Listas!$B$6:$B$20,0)),0))</f>
        <v/>
      </c>
      <c r="H352" s="41" t="str">
        <f aca="false">IF(OR($F352="",$C352="",$D352=""),"",ABS($F352)*$D352*IFERROR(INDEX(Listas!$C$6:$C$20,MATCH($C352,Listas!$B$6:$B$20,0)),0))</f>
        <v/>
      </c>
      <c r="I352" s="42" t="str">
        <f aca="false">IF(OR($E352="",$F352="",$F352=0),"",$E352/ABS($F352))</f>
        <v/>
      </c>
      <c r="J352" s="43" t="str">
        <f aca="false">IF($B352="","",INDEX(Listas!$G$6:$G$12,WEEKDAY($B352,1)))</f>
        <v/>
      </c>
      <c r="K352" s="43" t="str">
        <f aca="false">IFERROR(IF($L352="","",TEXT(IF($L352&lt;1,HOUR($L352),INT($L352)),"00")&amp;":00"),"")</f>
        <v/>
      </c>
      <c r="L352" s="44"/>
      <c r="M352" s="45"/>
      <c r="N352" s="46"/>
      <c r="O352" s="45"/>
      <c r="P352" s="2"/>
      <c r="Q352" s="2"/>
      <c r="R352" s="2"/>
      <c r="S352" s="2"/>
      <c r="T352" s="2"/>
      <c r="U352" s="47" t="str">
        <f aca="false">IF($G352="","",IF($G352&lt;0,IF(N($U351)=0,1,$U351+1),0))</f>
        <v/>
      </c>
      <c r="V352" s="47" t="str">
        <f aca="false">IF($G352="","",IF($V351="",'Empieza aquí'!$D$8,$V351)+$G352)</f>
        <v/>
      </c>
      <c r="W352" s="47" t="str">
        <f aca="false">IF($V352="","",MAX(IF($W351="",'Empieza aquí'!$D$8,$W351),$V352))</f>
        <v/>
      </c>
      <c r="X352" s="47" t="str">
        <f aca="false">IF($V352="","",$V352-$W352)</f>
        <v/>
      </c>
      <c r="Y352" s="3"/>
      <c r="Z352" s="3"/>
      <c r="AA352" s="3"/>
      <c r="AB352" s="3"/>
      <c r="AC352" s="3"/>
      <c r="AD352" s="3"/>
      <c r="AE352" s="3"/>
      <c r="AF352" s="3"/>
      <c r="AG352" s="3"/>
      <c r="AH352" s="3"/>
    </row>
    <row r="353" customFormat="false" ht="15" hidden="false" customHeight="true" outlineLevel="0" collapsed="false">
      <c r="A353" s="2"/>
      <c r="B353" s="36"/>
      <c r="C353" s="37"/>
      <c r="D353" s="37"/>
      <c r="E353" s="38"/>
      <c r="F353" s="39"/>
      <c r="G353" s="40" t="str">
        <f aca="false">IF(OR($E353="",$C353="",$D353=""),"",$E353*$D353*IFERROR(INDEX(Listas!$C$6:$C$20,MATCH($C353,Listas!$B$6:$B$20,0)),0)-$D353*IFERROR(INDEX(Listas!$D$6:$D$20,MATCH($C353,Listas!$B$6:$B$20,0)),0))</f>
        <v/>
      </c>
      <c r="H353" s="41" t="str">
        <f aca="false">IF(OR($F353="",$C353="",$D353=""),"",ABS($F353)*$D353*IFERROR(INDEX(Listas!$C$6:$C$20,MATCH($C353,Listas!$B$6:$B$20,0)),0))</f>
        <v/>
      </c>
      <c r="I353" s="42" t="str">
        <f aca="false">IF(OR($E353="",$F353="",$F353=0),"",$E353/ABS($F353))</f>
        <v/>
      </c>
      <c r="J353" s="43" t="str">
        <f aca="false">IF($B353="","",INDEX(Listas!$G$6:$G$12,WEEKDAY($B353,1)))</f>
        <v/>
      </c>
      <c r="K353" s="43" t="str">
        <f aca="false">IFERROR(IF($L353="","",TEXT(IF($L353&lt;1,HOUR($L353),INT($L353)),"00")&amp;":00"),"")</f>
        <v/>
      </c>
      <c r="L353" s="44"/>
      <c r="M353" s="45"/>
      <c r="N353" s="46"/>
      <c r="O353" s="45"/>
      <c r="P353" s="2"/>
      <c r="Q353" s="2"/>
      <c r="R353" s="2"/>
      <c r="S353" s="2"/>
      <c r="T353" s="2"/>
      <c r="U353" s="47" t="str">
        <f aca="false">IF($G353="","",IF($G353&lt;0,IF(N($U352)=0,1,$U352+1),0))</f>
        <v/>
      </c>
      <c r="V353" s="47" t="str">
        <f aca="false">IF($G353="","",IF($V352="",'Empieza aquí'!$D$8,$V352)+$G353)</f>
        <v/>
      </c>
      <c r="W353" s="47" t="str">
        <f aca="false">IF($V353="","",MAX(IF($W352="",'Empieza aquí'!$D$8,$W352),$V353))</f>
        <v/>
      </c>
      <c r="X353" s="47" t="str">
        <f aca="false">IF($V353="","",$V353-$W353)</f>
        <v/>
      </c>
      <c r="Y353" s="3"/>
      <c r="Z353" s="3"/>
      <c r="AA353" s="3"/>
      <c r="AB353" s="3"/>
      <c r="AC353" s="3"/>
      <c r="AD353" s="3"/>
      <c r="AE353" s="3"/>
      <c r="AF353" s="3"/>
      <c r="AG353" s="3"/>
      <c r="AH353" s="3"/>
    </row>
    <row r="354" customFormat="false" ht="15" hidden="false" customHeight="true" outlineLevel="0" collapsed="false">
      <c r="A354" s="2"/>
      <c r="B354" s="36"/>
      <c r="C354" s="37"/>
      <c r="D354" s="37"/>
      <c r="E354" s="38"/>
      <c r="F354" s="39"/>
      <c r="G354" s="40" t="str">
        <f aca="false">IF(OR($E354="",$C354="",$D354=""),"",$E354*$D354*IFERROR(INDEX(Listas!$C$6:$C$20,MATCH($C354,Listas!$B$6:$B$20,0)),0)-$D354*IFERROR(INDEX(Listas!$D$6:$D$20,MATCH($C354,Listas!$B$6:$B$20,0)),0))</f>
        <v/>
      </c>
      <c r="H354" s="41" t="str">
        <f aca="false">IF(OR($F354="",$C354="",$D354=""),"",ABS($F354)*$D354*IFERROR(INDEX(Listas!$C$6:$C$20,MATCH($C354,Listas!$B$6:$B$20,0)),0))</f>
        <v/>
      </c>
      <c r="I354" s="42" t="str">
        <f aca="false">IF(OR($E354="",$F354="",$F354=0),"",$E354/ABS($F354))</f>
        <v/>
      </c>
      <c r="J354" s="43" t="str">
        <f aca="false">IF($B354="","",INDEX(Listas!$G$6:$G$12,WEEKDAY($B354,1)))</f>
        <v/>
      </c>
      <c r="K354" s="43" t="str">
        <f aca="false">IFERROR(IF($L354="","",TEXT(IF($L354&lt;1,HOUR($L354),INT($L354)),"00")&amp;":00"),"")</f>
        <v/>
      </c>
      <c r="L354" s="44"/>
      <c r="M354" s="45"/>
      <c r="N354" s="46"/>
      <c r="O354" s="45"/>
      <c r="P354" s="2"/>
      <c r="Q354" s="2"/>
      <c r="R354" s="2"/>
      <c r="S354" s="2"/>
      <c r="T354" s="2"/>
      <c r="U354" s="47" t="str">
        <f aca="false">IF($G354="","",IF($G354&lt;0,IF(N($U353)=0,1,$U353+1),0))</f>
        <v/>
      </c>
      <c r="V354" s="47" t="str">
        <f aca="false">IF($G354="","",IF($V353="",'Empieza aquí'!$D$8,$V353)+$G354)</f>
        <v/>
      </c>
      <c r="W354" s="47" t="str">
        <f aca="false">IF($V354="","",MAX(IF($W353="",'Empieza aquí'!$D$8,$W353),$V354))</f>
        <v/>
      </c>
      <c r="X354" s="47" t="str">
        <f aca="false">IF($V354="","",$V354-$W354)</f>
        <v/>
      </c>
      <c r="Y354" s="3"/>
      <c r="Z354" s="3"/>
      <c r="AA354" s="3"/>
      <c r="AB354" s="3"/>
      <c r="AC354" s="3"/>
      <c r="AD354" s="3"/>
      <c r="AE354" s="3"/>
      <c r="AF354" s="3"/>
      <c r="AG354" s="3"/>
      <c r="AH354" s="3"/>
    </row>
    <row r="355" customFormat="false" ht="15" hidden="false" customHeight="true" outlineLevel="0" collapsed="false">
      <c r="A355" s="2"/>
      <c r="B355" s="36"/>
      <c r="C355" s="37"/>
      <c r="D355" s="37"/>
      <c r="E355" s="38"/>
      <c r="F355" s="39"/>
      <c r="G355" s="40" t="str">
        <f aca="false">IF(OR($E355="",$C355="",$D355=""),"",$E355*$D355*IFERROR(INDEX(Listas!$C$6:$C$20,MATCH($C355,Listas!$B$6:$B$20,0)),0)-$D355*IFERROR(INDEX(Listas!$D$6:$D$20,MATCH($C355,Listas!$B$6:$B$20,0)),0))</f>
        <v/>
      </c>
      <c r="H355" s="41" t="str">
        <f aca="false">IF(OR($F355="",$C355="",$D355=""),"",ABS($F355)*$D355*IFERROR(INDEX(Listas!$C$6:$C$20,MATCH($C355,Listas!$B$6:$B$20,0)),0))</f>
        <v/>
      </c>
      <c r="I355" s="42" t="str">
        <f aca="false">IF(OR($E355="",$F355="",$F355=0),"",$E355/ABS($F355))</f>
        <v/>
      </c>
      <c r="J355" s="43" t="str">
        <f aca="false">IF($B355="","",INDEX(Listas!$G$6:$G$12,WEEKDAY($B355,1)))</f>
        <v/>
      </c>
      <c r="K355" s="43" t="str">
        <f aca="false">IFERROR(IF($L355="","",TEXT(IF($L355&lt;1,HOUR($L355),INT($L355)),"00")&amp;":00"),"")</f>
        <v/>
      </c>
      <c r="L355" s="44"/>
      <c r="M355" s="45"/>
      <c r="N355" s="46"/>
      <c r="O355" s="45"/>
      <c r="P355" s="2"/>
      <c r="Q355" s="2"/>
      <c r="R355" s="2"/>
      <c r="S355" s="2"/>
      <c r="T355" s="2"/>
      <c r="U355" s="47" t="str">
        <f aca="false">IF($G355="","",IF($G355&lt;0,IF(N($U354)=0,1,$U354+1),0))</f>
        <v/>
      </c>
      <c r="V355" s="47" t="str">
        <f aca="false">IF($G355="","",IF($V354="",'Empieza aquí'!$D$8,$V354)+$G355)</f>
        <v/>
      </c>
      <c r="W355" s="47" t="str">
        <f aca="false">IF($V355="","",MAX(IF($W354="",'Empieza aquí'!$D$8,$W354),$V355))</f>
        <v/>
      </c>
      <c r="X355" s="47" t="str">
        <f aca="false">IF($V355="","",$V355-$W355)</f>
        <v/>
      </c>
      <c r="Y355" s="3"/>
      <c r="Z355" s="3"/>
      <c r="AA355" s="3"/>
      <c r="AB355" s="3"/>
      <c r="AC355" s="3"/>
      <c r="AD355" s="3"/>
      <c r="AE355" s="3"/>
      <c r="AF355" s="3"/>
      <c r="AG355" s="3"/>
      <c r="AH355" s="3"/>
    </row>
    <row r="356" customFormat="false" ht="15" hidden="false" customHeight="true" outlineLevel="0" collapsed="false">
      <c r="A356" s="2"/>
      <c r="B356" s="36"/>
      <c r="C356" s="37"/>
      <c r="D356" s="37"/>
      <c r="E356" s="38"/>
      <c r="F356" s="39"/>
      <c r="G356" s="40" t="str">
        <f aca="false">IF(OR($E356="",$C356="",$D356=""),"",$E356*$D356*IFERROR(INDEX(Listas!$C$6:$C$20,MATCH($C356,Listas!$B$6:$B$20,0)),0)-$D356*IFERROR(INDEX(Listas!$D$6:$D$20,MATCH($C356,Listas!$B$6:$B$20,0)),0))</f>
        <v/>
      </c>
      <c r="H356" s="41" t="str">
        <f aca="false">IF(OR($F356="",$C356="",$D356=""),"",ABS($F356)*$D356*IFERROR(INDEX(Listas!$C$6:$C$20,MATCH($C356,Listas!$B$6:$B$20,0)),0))</f>
        <v/>
      </c>
      <c r="I356" s="42" t="str">
        <f aca="false">IF(OR($E356="",$F356="",$F356=0),"",$E356/ABS($F356))</f>
        <v/>
      </c>
      <c r="J356" s="43" t="str">
        <f aca="false">IF($B356="","",INDEX(Listas!$G$6:$G$12,WEEKDAY($B356,1)))</f>
        <v/>
      </c>
      <c r="K356" s="43" t="str">
        <f aca="false">IFERROR(IF($L356="","",TEXT(IF($L356&lt;1,HOUR($L356),INT($L356)),"00")&amp;":00"),"")</f>
        <v/>
      </c>
      <c r="L356" s="44"/>
      <c r="M356" s="45"/>
      <c r="N356" s="46"/>
      <c r="O356" s="45"/>
      <c r="P356" s="2"/>
      <c r="Q356" s="2"/>
      <c r="R356" s="2"/>
      <c r="S356" s="2"/>
      <c r="T356" s="2"/>
      <c r="U356" s="47" t="str">
        <f aca="false">IF($G356="","",IF($G356&lt;0,IF(N($U355)=0,1,$U355+1),0))</f>
        <v/>
      </c>
      <c r="V356" s="47" t="str">
        <f aca="false">IF($G356="","",IF($V355="",'Empieza aquí'!$D$8,$V355)+$G356)</f>
        <v/>
      </c>
      <c r="W356" s="47" t="str">
        <f aca="false">IF($V356="","",MAX(IF($W355="",'Empieza aquí'!$D$8,$W355),$V356))</f>
        <v/>
      </c>
      <c r="X356" s="47" t="str">
        <f aca="false">IF($V356="","",$V356-$W356)</f>
        <v/>
      </c>
      <c r="Y356" s="3"/>
      <c r="Z356" s="3"/>
      <c r="AA356" s="3"/>
      <c r="AB356" s="3"/>
      <c r="AC356" s="3"/>
      <c r="AD356" s="3"/>
      <c r="AE356" s="3"/>
      <c r="AF356" s="3"/>
      <c r="AG356" s="3"/>
      <c r="AH356" s="3"/>
    </row>
    <row r="357" customFormat="false" ht="15" hidden="false" customHeight="true" outlineLevel="0" collapsed="false">
      <c r="A357" s="2"/>
      <c r="B357" s="36"/>
      <c r="C357" s="37"/>
      <c r="D357" s="37"/>
      <c r="E357" s="38"/>
      <c r="F357" s="39"/>
      <c r="G357" s="40" t="str">
        <f aca="false">IF(OR($E357="",$C357="",$D357=""),"",$E357*$D357*IFERROR(INDEX(Listas!$C$6:$C$20,MATCH($C357,Listas!$B$6:$B$20,0)),0)-$D357*IFERROR(INDEX(Listas!$D$6:$D$20,MATCH($C357,Listas!$B$6:$B$20,0)),0))</f>
        <v/>
      </c>
      <c r="H357" s="41" t="str">
        <f aca="false">IF(OR($F357="",$C357="",$D357=""),"",ABS($F357)*$D357*IFERROR(INDEX(Listas!$C$6:$C$20,MATCH($C357,Listas!$B$6:$B$20,0)),0))</f>
        <v/>
      </c>
      <c r="I357" s="42" t="str">
        <f aca="false">IF(OR($E357="",$F357="",$F357=0),"",$E357/ABS($F357))</f>
        <v/>
      </c>
      <c r="J357" s="43" t="str">
        <f aca="false">IF($B357="","",INDEX(Listas!$G$6:$G$12,WEEKDAY($B357,1)))</f>
        <v/>
      </c>
      <c r="K357" s="43" t="str">
        <f aca="false">IFERROR(IF($L357="","",TEXT(IF($L357&lt;1,HOUR($L357),INT($L357)),"00")&amp;":00"),"")</f>
        <v/>
      </c>
      <c r="L357" s="44"/>
      <c r="M357" s="45"/>
      <c r="N357" s="46"/>
      <c r="O357" s="45"/>
      <c r="P357" s="2"/>
      <c r="Q357" s="2"/>
      <c r="R357" s="2"/>
      <c r="S357" s="2"/>
      <c r="T357" s="2"/>
      <c r="U357" s="47" t="str">
        <f aca="false">IF($G357="","",IF($G357&lt;0,IF(N($U356)=0,1,$U356+1),0))</f>
        <v/>
      </c>
      <c r="V357" s="47" t="str">
        <f aca="false">IF($G357="","",IF($V356="",'Empieza aquí'!$D$8,$V356)+$G357)</f>
        <v/>
      </c>
      <c r="W357" s="47" t="str">
        <f aca="false">IF($V357="","",MAX(IF($W356="",'Empieza aquí'!$D$8,$W356),$V357))</f>
        <v/>
      </c>
      <c r="X357" s="47" t="str">
        <f aca="false">IF($V357="","",$V357-$W357)</f>
        <v/>
      </c>
      <c r="Y357" s="3"/>
      <c r="Z357" s="3"/>
      <c r="AA357" s="3"/>
      <c r="AB357" s="3"/>
      <c r="AC357" s="3"/>
      <c r="AD357" s="3"/>
      <c r="AE357" s="3"/>
      <c r="AF357" s="3"/>
      <c r="AG357" s="3"/>
      <c r="AH357" s="3"/>
    </row>
    <row r="358" customFormat="false" ht="15" hidden="false" customHeight="true" outlineLevel="0" collapsed="false">
      <c r="A358" s="2"/>
      <c r="B358" s="36"/>
      <c r="C358" s="37"/>
      <c r="D358" s="37"/>
      <c r="E358" s="38"/>
      <c r="F358" s="39"/>
      <c r="G358" s="40" t="str">
        <f aca="false">IF(OR($E358="",$C358="",$D358=""),"",$E358*$D358*IFERROR(INDEX(Listas!$C$6:$C$20,MATCH($C358,Listas!$B$6:$B$20,0)),0)-$D358*IFERROR(INDEX(Listas!$D$6:$D$20,MATCH($C358,Listas!$B$6:$B$20,0)),0))</f>
        <v/>
      </c>
      <c r="H358" s="41" t="str">
        <f aca="false">IF(OR($F358="",$C358="",$D358=""),"",ABS($F358)*$D358*IFERROR(INDEX(Listas!$C$6:$C$20,MATCH($C358,Listas!$B$6:$B$20,0)),0))</f>
        <v/>
      </c>
      <c r="I358" s="42" t="str">
        <f aca="false">IF(OR($E358="",$F358="",$F358=0),"",$E358/ABS($F358))</f>
        <v/>
      </c>
      <c r="J358" s="43" t="str">
        <f aca="false">IF($B358="","",INDEX(Listas!$G$6:$G$12,WEEKDAY($B358,1)))</f>
        <v/>
      </c>
      <c r="K358" s="43" t="str">
        <f aca="false">IFERROR(IF($L358="","",TEXT(IF($L358&lt;1,HOUR($L358),INT($L358)),"00")&amp;":00"),"")</f>
        <v/>
      </c>
      <c r="L358" s="44"/>
      <c r="M358" s="45"/>
      <c r="N358" s="46"/>
      <c r="O358" s="45"/>
      <c r="P358" s="2"/>
      <c r="Q358" s="2"/>
      <c r="R358" s="2"/>
      <c r="S358" s="2"/>
      <c r="T358" s="2"/>
      <c r="U358" s="47" t="str">
        <f aca="false">IF($G358="","",IF($G358&lt;0,IF(N($U357)=0,1,$U357+1),0))</f>
        <v/>
      </c>
      <c r="V358" s="47" t="str">
        <f aca="false">IF($G358="","",IF($V357="",'Empieza aquí'!$D$8,$V357)+$G358)</f>
        <v/>
      </c>
      <c r="W358" s="47" t="str">
        <f aca="false">IF($V358="","",MAX(IF($W357="",'Empieza aquí'!$D$8,$W357),$V358))</f>
        <v/>
      </c>
      <c r="X358" s="47" t="str">
        <f aca="false">IF($V358="","",$V358-$W358)</f>
        <v/>
      </c>
      <c r="Y358" s="3"/>
      <c r="Z358" s="3"/>
      <c r="AA358" s="3"/>
      <c r="AB358" s="3"/>
      <c r="AC358" s="3"/>
      <c r="AD358" s="3"/>
      <c r="AE358" s="3"/>
      <c r="AF358" s="3"/>
      <c r="AG358" s="3"/>
      <c r="AH358" s="3"/>
    </row>
    <row r="359" customFormat="false" ht="15" hidden="false" customHeight="true" outlineLevel="0" collapsed="false">
      <c r="A359" s="2"/>
      <c r="B359" s="36"/>
      <c r="C359" s="37"/>
      <c r="D359" s="37"/>
      <c r="E359" s="38"/>
      <c r="F359" s="39"/>
      <c r="G359" s="40" t="str">
        <f aca="false">IF(OR($E359="",$C359="",$D359=""),"",$E359*$D359*IFERROR(INDEX(Listas!$C$6:$C$20,MATCH($C359,Listas!$B$6:$B$20,0)),0)-$D359*IFERROR(INDEX(Listas!$D$6:$D$20,MATCH($C359,Listas!$B$6:$B$20,0)),0))</f>
        <v/>
      </c>
      <c r="H359" s="41" t="str">
        <f aca="false">IF(OR($F359="",$C359="",$D359=""),"",ABS($F359)*$D359*IFERROR(INDEX(Listas!$C$6:$C$20,MATCH($C359,Listas!$B$6:$B$20,0)),0))</f>
        <v/>
      </c>
      <c r="I359" s="42" t="str">
        <f aca="false">IF(OR($E359="",$F359="",$F359=0),"",$E359/ABS($F359))</f>
        <v/>
      </c>
      <c r="J359" s="43" t="str">
        <f aca="false">IF($B359="","",INDEX(Listas!$G$6:$G$12,WEEKDAY($B359,1)))</f>
        <v/>
      </c>
      <c r="K359" s="43" t="str">
        <f aca="false">IFERROR(IF($L359="","",TEXT(IF($L359&lt;1,HOUR($L359),INT($L359)),"00")&amp;":00"),"")</f>
        <v/>
      </c>
      <c r="L359" s="44"/>
      <c r="M359" s="45"/>
      <c r="N359" s="46"/>
      <c r="O359" s="45"/>
      <c r="P359" s="2"/>
      <c r="Q359" s="2"/>
      <c r="R359" s="2"/>
      <c r="S359" s="2"/>
      <c r="T359" s="2"/>
      <c r="U359" s="47" t="str">
        <f aca="false">IF($G359="","",IF($G359&lt;0,IF(N($U358)=0,1,$U358+1),0))</f>
        <v/>
      </c>
      <c r="V359" s="47" t="str">
        <f aca="false">IF($G359="","",IF($V358="",'Empieza aquí'!$D$8,$V358)+$G359)</f>
        <v/>
      </c>
      <c r="W359" s="47" t="str">
        <f aca="false">IF($V359="","",MAX(IF($W358="",'Empieza aquí'!$D$8,$W358),$V359))</f>
        <v/>
      </c>
      <c r="X359" s="47" t="str">
        <f aca="false">IF($V359="","",$V359-$W359)</f>
        <v/>
      </c>
      <c r="Y359" s="3"/>
      <c r="Z359" s="3"/>
      <c r="AA359" s="3"/>
      <c r="AB359" s="3"/>
      <c r="AC359" s="3"/>
      <c r="AD359" s="3"/>
      <c r="AE359" s="3"/>
      <c r="AF359" s="3"/>
      <c r="AG359" s="3"/>
      <c r="AH359" s="3"/>
    </row>
    <row r="360" customFormat="false" ht="15" hidden="false" customHeight="true" outlineLevel="0" collapsed="false">
      <c r="A360" s="2"/>
      <c r="B360" s="36"/>
      <c r="C360" s="37"/>
      <c r="D360" s="37"/>
      <c r="E360" s="38"/>
      <c r="F360" s="39"/>
      <c r="G360" s="40" t="str">
        <f aca="false">IF(OR($E360="",$C360="",$D360=""),"",$E360*$D360*IFERROR(INDEX(Listas!$C$6:$C$20,MATCH($C360,Listas!$B$6:$B$20,0)),0)-$D360*IFERROR(INDEX(Listas!$D$6:$D$20,MATCH($C360,Listas!$B$6:$B$20,0)),0))</f>
        <v/>
      </c>
      <c r="H360" s="41" t="str">
        <f aca="false">IF(OR($F360="",$C360="",$D360=""),"",ABS($F360)*$D360*IFERROR(INDEX(Listas!$C$6:$C$20,MATCH($C360,Listas!$B$6:$B$20,0)),0))</f>
        <v/>
      </c>
      <c r="I360" s="42" t="str">
        <f aca="false">IF(OR($E360="",$F360="",$F360=0),"",$E360/ABS($F360))</f>
        <v/>
      </c>
      <c r="J360" s="43" t="str">
        <f aca="false">IF($B360="","",INDEX(Listas!$G$6:$G$12,WEEKDAY($B360,1)))</f>
        <v/>
      </c>
      <c r="K360" s="43" t="str">
        <f aca="false">IFERROR(IF($L360="","",TEXT(IF($L360&lt;1,HOUR($L360),INT($L360)),"00")&amp;":00"),"")</f>
        <v/>
      </c>
      <c r="L360" s="44"/>
      <c r="M360" s="45"/>
      <c r="N360" s="46"/>
      <c r="O360" s="45"/>
      <c r="P360" s="2"/>
      <c r="Q360" s="2"/>
      <c r="R360" s="2"/>
      <c r="S360" s="2"/>
      <c r="T360" s="2"/>
      <c r="U360" s="47" t="str">
        <f aca="false">IF($G360="","",IF($G360&lt;0,IF(N($U359)=0,1,$U359+1),0))</f>
        <v/>
      </c>
      <c r="V360" s="47" t="str">
        <f aca="false">IF($G360="","",IF($V359="",'Empieza aquí'!$D$8,$V359)+$G360)</f>
        <v/>
      </c>
      <c r="W360" s="47" t="str">
        <f aca="false">IF($V360="","",MAX(IF($W359="",'Empieza aquí'!$D$8,$W359),$V360))</f>
        <v/>
      </c>
      <c r="X360" s="47" t="str">
        <f aca="false">IF($V360="","",$V360-$W360)</f>
        <v/>
      </c>
      <c r="Y360" s="3"/>
      <c r="Z360" s="3"/>
      <c r="AA360" s="3"/>
      <c r="AB360" s="3"/>
      <c r="AC360" s="3"/>
      <c r="AD360" s="3"/>
      <c r="AE360" s="3"/>
      <c r="AF360" s="3"/>
      <c r="AG360" s="3"/>
      <c r="AH360" s="3"/>
    </row>
    <row r="361" customFormat="false" ht="15" hidden="false" customHeight="true" outlineLevel="0" collapsed="false">
      <c r="A361" s="2"/>
      <c r="B361" s="36"/>
      <c r="C361" s="37"/>
      <c r="D361" s="37"/>
      <c r="E361" s="38"/>
      <c r="F361" s="39"/>
      <c r="G361" s="40" t="str">
        <f aca="false">IF(OR($E361="",$C361="",$D361=""),"",$E361*$D361*IFERROR(INDEX(Listas!$C$6:$C$20,MATCH($C361,Listas!$B$6:$B$20,0)),0)-$D361*IFERROR(INDEX(Listas!$D$6:$D$20,MATCH($C361,Listas!$B$6:$B$20,0)),0))</f>
        <v/>
      </c>
      <c r="H361" s="41" t="str">
        <f aca="false">IF(OR($F361="",$C361="",$D361=""),"",ABS($F361)*$D361*IFERROR(INDEX(Listas!$C$6:$C$20,MATCH($C361,Listas!$B$6:$B$20,0)),0))</f>
        <v/>
      </c>
      <c r="I361" s="42" t="str">
        <f aca="false">IF(OR($E361="",$F361="",$F361=0),"",$E361/ABS($F361))</f>
        <v/>
      </c>
      <c r="J361" s="43" t="str">
        <f aca="false">IF($B361="","",INDEX(Listas!$G$6:$G$12,WEEKDAY($B361,1)))</f>
        <v/>
      </c>
      <c r="K361" s="43" t="str">
        <f aca="false">IFERROR(IF($L361="","",TEXT(IF($L361&lt;1,HOUR($L361),INT($L361)),"00")&amp;":00"),"")</f>
        <v/>
      </c>
      <c r="L361" s="44"/>
      <c r="M361" s="45"/>
      <c r="N361" s="46"/>
      <c r="O361" s="45"/>
      <c r="P361" s="2"/>
      <c r="Q361" s="2"/>
      <c r="R361" s="2"/>
      <c r="S361" s="2"/>
      <c r="T361" s="2"/>
      <c r="U361" s="47" t="str">
        <f aca="false">IF($G361="","",IF($G361&lt;0,IF(N($U360)=0,1,$U360+1),0))</f>
        <v/>
      </c>
      <c r="V361" s="47" t="str">
        <f aca="false">IF($G361="","",IF($V360="",'Empieza aquí'!$D$8,$V360)+$G361)</f>
        <v/>
      </c>
      <c r="W361" s="47" t="str">
        <f aca="false">IF($V361="","",MAX(IF($W360="",'Empieza aquí'!$D$8,$W360),$V361))</f>
        <v/>
      </c>
      <c r="X361" s="47" t="str">
        <f aca="false">IF($V361="","",$V361-$W361)</f>
        <v/>
      </c>
      <c r="Y361" s="3"/>
      <c r="Z361" s="3"/>
      <c r="AA361" s="3"/>
      <c r="AB361" s="3"/>
      <c r="AC361" s="3"/>
      <c r="AD361" s="3"/>
      <c r="AE361" s="3"/>
      <c r="AF361" s="3"/>
      <c r="AG361" s="3"/>
      <c r="AH361" s="3"/>
    </row>
    <row r="362" customFormat="false" ht="15" hidden="false" customHeight="true" outlineLevel="0" collapsed="false">
      <c r="A362" s="2"/>
      <c r="B362" s="36"/>
      <c r="C362" s="37"/>
      <c r="D362" s="37"/>
      <c r="E362" s="38"/>
      <c r="F362" s="39"/>
      <c r="G362" s="40" t="str">
        <f aca="false">IF(OR($E362="",$C362="",$D362=""),"",$E362*$D362*IFERROR(INDEX(Listas!$C$6:$C$20,MATCH($C362,Listas!$B$6:$B$20,0)),0)-$D362*IFERROR(INDEX(Listas!$D$6:$D$20,MATCH($C362,Listas!$B$6:$B$20,0)),0))</f>
        <v/>
      </c>
      <c r="H362" s="41" t="str">
        <f aca="false">IF(OR($F362="",$C362="",$D362=""),"",ABS($F362)*$D362*IFERROR(INDEX(Listas!$C$6:$C$20,MATCH($C362,Listas!$B$6:$B$20,0)),0))</f>
        <v/>
      </c>
      <c r="I362" s="42" t="str">
        <f aca="false">IF(OR($E362="",$F362="",$F362=0),"",$E362/ABS($F362))</f>
        <v/>
      </c>
      <c r="J362" s="43" t="str">
        <f aca="false">IF($B362="","",INDEX(Listas!$G$6:$G$12,WEEKDAY($B362,1)))</f>
        <v/>
      </c>
      <c r="K362" s="43" t="str">
        <f aca="false">IFERROR(IF($L362="","",TEXT(IF($L362&lt;1,HOUR($L362),INT($L362)),"00")&amp;":00"),"")</f>
        <v/>
      </c>
      <c r="L362" s="44"/>
      <c r="M362" s="45"/>
      <c r="N362" s="46"/>
      <c r="O362" s="45"/>
      <c r="P362" s="2"/>
      <c r="Q362" s="2"/>
      <c r="R362" s="2"/>
      <c r="S362" s="2"/>
      <c r="T362" s="2"/>
      <c r="U362" s="47" t="str">
        <f aca="false">IF($G362="","",IF($G362&lt;0,IF(N($U361)=0,1,$U361+1),0))</f>
        <v/>
      </c>
      <c r="V362" s="47" t="str">
        <f aca="false">IF($G362="","",IF($V361="",'Empieza aquí'!$D$8,$V361)+$G362)</f>
        <v/>
      </c>
      <c r="W362" s="47" t="str">
        <f aca="false">IF($V362="","",MAX(IF($W361="",'Empieza aquí'!$D$8,$W361),$V362))</f>
        <v/>
      </c>
      <c r="X362" s="47" t="str">
        <f aca="false">IF($V362="","",$V362-$W362)</f>
        <v/>
      </c>
      <c r="Y362" s="3"/>
      <c r="Z362" s="3"/>
      <c r="AA362" s="3"/>
      <c r="AB362" s="3"/>
      <c r="AC362" s="3"/>
      <c r="AD362" s="3"/>
      <c r="AE362" s="3"/>
      <c r="AF362" s="3"/>
      <c r="AG362" s="3"/>
      <c r="AH362" s="3"/>
    </row>
    <row r="363" customFormat="false" ht="15" hidden="false" customHeight="true" outlineLevel="0" collapsed="false">
      <c r="A363" s="2"/>
      <c r="B363" s="36"/>
      <c r="C363" s="37"/>
      <c r="D363" s="37"/>
      <c r="E363" s="38"/>
      <c r="F363" s="39"/>
      <c r="G363" s="40" t="str">
        <f aca="false">IF(OR($E363="",$C363="",$D363=""),"",$E363*$D363*IFERROR(INDEX(Listas!$C$6:$C$20,MATCH($C363,Listas!$B$6:$B$20,0)),0)-$D363*IFERROR(INDEX(Listas!$D$6:$D$20,MATCH($C363,Listas!$B$6:$B$20,0)),0))</f>
        <v/>
      </c>
      <c r="H363" s="41" t="str">
        <f aca="false">IF(OR($F363="",$C363="",$D363=""),"",ABS($F363)*$D363*IFERROR(INDEX(Listas!$C$6:$C$20,MATCH($C363,Listas!$B$6:$B$20,0)),0))</f>
        <v/>
      </c>
      <c r="I363" s="42" t="str">
        <f aca="false">IF(OR($E363="",$F363="",$F363=0),"",$E363/ABS($F363))</f>
        <v/>
      </c>
      <c r="J363" s="43" t="str">
        <f aca="false">IF($B363="","",INDEX(Listas!$G$6:$G$12,WEEKDAY($B363,1)))</f>
        <v/>
      </c>
      <c r="K363" s="43" t="str">
        <f aca="false">IFERROR(IF($L363="","",TEXT(IF($L363&lt;1,HOUR($L363),INT($L363)),"00")&amp;":00"),"")</f>
        <v/>
      </c>
      <c r="L363" s="44"/>
      <c r="M363" s="45"/>
      <c r="N363" s="46"/>
      <c r="O363" s="45"/>
      <c r="P363" s="2"/>
      <c r="Q363" s="2"/>
      <c r="R363" s="2"/>
      <c r="S363" s="2"/>
      <c r="T363" s="2"/>
      <c r="U363" s="47" t="str">
        <f aca="false">IF($G363="","",IF($G363&lt;0,IF(N($U362)=0,1,$U362+1),0))</f>
        <v/>
      </c>
      <c r="V363" s="47" t="str">
        <f aca="false">IF($G363="","",IF($V362="",'Empieza aquí'!$D$8,$V362)+$G363)</f>
        <v/>
      </c>
      <c r="W363" s="47" t="str">
        <f aca="false">IF($V363="","",MAX(IF($W362="",'Empieza aquí'!$D$8,$W362),$V363))</f>
        <v/>
      </c>
      <c r="X363" s="47" t="str">
        <f aca="false">IF($V363="","",$V363-$W363)</f>
        <v/>
      </c>
      <c r="Y363" s="3"/>
      <c r="Z363" s="3"/>
      <c r="AA363" s="3"/>
      <c r="AB363" s="3"/>
      <c r="AC363" s="3"/>
      <c r="AD363" s="3"/>
      <c r="AE363" s="3"/>
      <c r="AF363" s="3"/>
      <c r="AG363" s="3"/>
      <c r="AH363" s="3"/>
    </row>
    <row r="364" customFormat="false" ht="15" hidden="false" customHeight="true" outlineLevel="0" collapsed="false">
      <c r="A364" s="2"/>
      <c r="B364" s="36"/>
      <c r="C364" s="37"/>
      <c r="D364" s="37"/>
      <c r="E364" s="38"/>
      <c r="F364" s="39"/>
      <c r="G364" s="40" t="str">
        <f aca="false">IF(OR($E364="",$C364="",$D364=""),"",$E364*$D364*IFERROR(INDEX(Listas!$C$6:$C$20,MATCH($C364,Listas!$B$6:$B$20,0)),0)-$D364*IFERROR(INDEX(Listas!$D$6:$D$20,MATCH($C364,Listas!$B$6:$B$20,0)),0))</f>
        <v/>
      </c>
      <c r="H364" s="41" t="str">
        <f aca="false">IF(OR($F364="",$C364="",$D364=""),"",ABS($F364)*$D364*IFERROR(INDEX(Listas!$C$6:$C$20,MATCH($C364,Listas!$B$6:$B$20,0)),0))</f>
        <v/>
      </c>
      <c r="I364" s="42" t="str">
        <f aca="false">IF(OR($E364="",$F364="",$F364=0),"",$E364/ABS($F364))</f>
        <v/>
      </c>
      <c r="J364" s="43" t="str">
        <f aca="false">IF($B364="","",INDEX(Listas!$G$6:$G$12,WEEKDAY($B364,1)))</f>
        <v/>
      </c>
      <c r="K364" s="43" t="str">
        <f aca="false">IFERROR(IF($L364="","",TEXT(IF($L364&lt;1,HOUR($L364),INT($L364)),"00")&amp;":00"),"")</f>
        <v/>
      </c>
      <c r="L364" s="44"/>
      <c r="M364" s="45"/>
      <c r="N364" s="46"/>
      <c r="O364" s="45"/>
      <c r="P364" s="2"/>
      <c r="Q364" s="2"/>
      <c r="R364" s="2"/>
      <c r="S364" s="2"/>
      <c r="T364" s="2"/>
      <c r="U364" s="47" t="str">
        <f aca="false">IF($G364="","",IF($G364&lt;0,IF(N($U363)=0,1,$U363+1),0))</f>
        <v/>
      </c>
      <c r="V364" s="47" t="str">
        <f aca="false">IF($G364="","",IF($V363="",'Empieza aquí'!$D$8,$V363)+$G364)</f>
        <v/>
      </c>
      <c r="W364" s="47" t="str">
        <f aca="false">IF($V364="","",MAX(IF($W363="",'Empieza aquí'!$D$8,$W363),$V364))</f>
        <v/>
      </c>
      <c r="X364" s="47" t="str">
        <f aca="false">IF($V364="","",$V364-$W364)</f>
        <v/>
      </c>
      <c r="Y364" s="3"/>
      <c r="Z364" s="3"/>
      <c r="AA364" s="3"/>
      <c r="AB364" s="3"/>
      <c r="AC364" s="3"/>
      <c r="AD364" s="3"/>
      <c r="AE364" s="3"/>
      <c r="AF364" s="3"/>
      <c r="AG364" s="3"/>
      <c r="AH364" s="3"/>
    </row>
    <row r="365" customFormat="false" ht="15" hidden="false" customHeight="true" outlineLevel="0" collapsed="false">
      <c r="A365" s="2"/>
      <c r="B365" s="36"/>
      <c r="C365" s="37"/>
      <c r="D365" s="37"/>
      <c r="E365" s="38"/>
      <c r="F365" s="39"/>
      <c r="G365" s="40" t="str">
        <f aca="false">IF(OR($E365="",$C365="",$D365=""),"",$E365*$D365*IFERROR(INDEX(Listas!$C$6:$C$20,MATCH($C365,Listas!$B$6:$B$20,0)),0)-$D365*IFERROR(INDEX(Listas!$D$6:$D$20,MATCH($C365,Listas!$B$6:$B$20,0)),0))</f>
        <v/>
      </c>
      <c r="H365" s="41" t="str">
        <f aca="false">IF(OR($F365="",$C365="",$D365=""),"",ABS($F365)*$D365*IFERROR(INDEX(Listas!$C$6:$C$20,MATCH($C365,Listas!$B$6:$B$20,0)),0))</f>
        <v/>
      </c>
      <c r="I365" s="42" t="str">
        <f aca="false">IF(OR($E365="",$F365="",$F365=0),"",$E365/ABS($F365))</f>
        <v/>
      </c>
      <c r="J365" s="43" t="str">
        <f aca="false">IF($B365="","",INDEX(Listas!$G$6:$G$12,WEEKDAY($B365,1)))</f>
        <v/>
      </c>
      <c r="K365" s="43" t="str">
        <f aca="false">IFERROR(IF($L365="","",TEXT(IF($L365&lt;1,HOUR($L365),INT($L365)),"00")&amp;":00"),"")</f>
        <v/>
      </c>
      <c r="L365" s="44"/>
      <c r="M365" s="45"/>
      <c r="N365" s="46"/>
      <c r="O365" s="45"/>
      <c r="P365" s="2"/>
      <c r="Q365" s="2"/>
      <c r="R365" s="2"/>
      <c r="S365" s="2"/>
      <c r="T365" s="2"/>
      <c r="U365" s="47" t="str">
        <f aca="false">IF($G365="","",IF($G365&lt;0,IF(N($U364)=0,1,$U364+1),0))</f>
        <v/>
      </c>
      <c r="V365" s="47" t="str">
        <f aca="false">IF($G365="","",IF($V364="",'Empieza aquí'!$D$8,$V364)+$G365)</f>
        <v/>
      </c>
      <c r="W365" s="47" t="str">
        <f aca="false">IF($V365="","",MAX(IF($W364="",'Empieza aquí'!$D$8,$W364),$V365))</f>
        <v/>
      </c>
      <c r="X365" s="47" t="str">
        <f aca="false">IF($V365="","",$V365-$W365)</f>
        <v/>
      </c>
      <c r="Y365" s="3"/>
      <c r="Z365" s="3"/>
      <c r="AA365" s="3"/>
      <c r="AB365" s="3"/>
      <c r="AC365" s="3"/>
      <c r="AD365" s="3"/>
      <c r="AE365" s="3"/>
      <c r="AF365" s="3"/>
      <c r="AG365" s="3"/>
      <c r="AH365" s="3"/>
    </row>
    <row r="366" customFormat="false" ht="15" hidden="false" customHeight="true" outlineLevel="0" collapsed="false">
      <c r="A366" s="2"/>
      <c r="B366" s="36"/>
      <c r="C366" s="37"/>
      <c r="D366" s="37"/>
      <c r="E366" s="38"/>
      <c r="F366" s="39"/>
      <c r="G366" s="40" t="str">
        <f aca="false">IF(OR($E366="",$C366="",$D366=""),"",$E366*$D366*IFERROR(INDEX(Listas!$C$6:$C$20,MATCH($C366,Listas!$B$6:$B$20,0)),0)-$D366*IFERROR(INDEX(Listas!$D$6:$D$20,MATCH($C366,Listas!$B$6:$B$20,0)),0))</f>
        <v/>
      </c>
      <c r="H366" s="41" t="str">
        <f aca="false">IF(OR($F366="",$C366="",$D366=""),"",ABS($F366)*$D366*IFERROR(INDEX(Listas!$C$6:$C$20,MATCH($C366,Listas!$B$6:$B$20,0)),0))</f>
        <v/>
      </c>
      <c r="I366" s="42" t="str">
        <f aca="false">IF(OR($E366="",$F366="",$F366=0),"",$E366/ABS($F366))</f>
        <v/>
      </c>
      <c r="J366" s="43" t="str">
        <f aca="false">IF($B366="","",INDEX(Listas!$G$6:$G$12,WEEKDAY($B366,1)))</f>
        <v/>
      </c>
      <c r="K366" s="43" t="str">
        <f aca="false">IFERROR(IF($L366="","",TEXT(IF($L366&lt;1,HOUR($L366),INT($L366)),"00")&amp;":00"),"")</f>
        <v/>
      </c>
      <c r="L366" s="44"/>
      <c r="M366" s="45"/>
      <c r="N366" s="46"/>
      <c r="O366" s="45"/>
      <c r="P366" s="2"/>
      <c r="Q366" s="2"/>
      <c r="R366" s="2"/>
      <c r="S366" s="2"/>
      <c r="T366" s="2"/>
      <c r="U366" s="47" t="str">
        <f aca="false">IF($G366="","",IF($G366&lt;0,IF(N($U365)=0,1,$U365+1),0))</f>
        <v/>
      </c>
      <c r="V366" s="47" t="str">
        <f aca="false">IF($G366="","",IF($V365="",'Empieza aquí'!$D$8,$V365)+$G366)</f>
        <v/>
      </c>
      <c r="W366" s="47" t="str">
        <f aca="false">IF($V366="","",MAX(IF($W365="",'Empieza aquí'!$D$8,$W365),$V366))</f>
        <v/>
      </c>
      <c r="X366" s="47" t="str">
        <f aca="false">IF($V366="","",$V366-$W366)</f>
        <v/>
      </c>
      <c r="Y366" s="3"/>
      <c r="Z366" s="3"/>
      <c r="AA366" s="3"/>
      <c r="AB366" s="3"/>
      <c r="AC366" s="3"/>
      <c r="AD366" s="3"/>
      <c r="AE366" s="3"/>
      <c r="AF366" s="3"/>
      <c r="AG366" s="3"/>
      <c r="AH366" s="3"/>
    </row>
    <row r="367" customFormat="false" ht="15" hidden="false" customHeight="true" outlineLevel="0" collapsed="false">
      <c r="A367" s="2"/>
      <c r="B367" s="36"/>
      <c r="C367" s="37"/>
      <c r="D367" s="37"/>
      <c r="E367" s="38"/>
      <c r="F367" s="39"/>
      <c r="G367" s="40" t="str">
        <f aca="false">IF(OR($E367="",$C367="",$D367=""),"",$E367*$D367*IFERROR(INDEX(Listas!$C$6:$C$20,MATCH($C367,Listas!$B$6:$B$20,0)),0)-$D367*IFERROR(INDEX(Listas!$D$6:$D$20,MATCH($C367,Listas!$B$6:$B$20,0)),0))</f>
        <v/>
      </c>
      <c r="H367" s="41" t="str">
        <f aca="false">IF(OR($F367="",$C367="",$D367=""),"",ABS($F367)*$D367*IFERROR(INDEX(Listas!$C$6:$C$20,MATCH($C367,Listas!$B$6:$B$20,0)),0))</f>
        <v/>
      </c>
      <c r="I367" s="42" t="str">
        <f aca="false">IF(OR($E367="",$F367="",$F367=0),"",$E367/ABS($F367))</f>
        <v/>
      </c>
      <c r="J367" s="43" t="str">
        <f aca="false">IF($B367="","",INDEX(Listas!$G$6:$G$12,WEEKDAY($B367,1)))</f>
        <v/>
      </c>
      <c r="K367" s="43" t="str">
        <f aca="false">IFERROR(IF($L367="","",TEXT(IF($L367&lt;1,HOUR($L367),INT($L367)),"00")&amp;":00"),"")</f>
        <v/>
      </c>
      <c r="L367" s="44"/>
      <c r="M367" s="45"/>
      <c r="N367" s="46"/>
      <c r="O367" s="45"/>
      <c r="P367" s="2"/>
      <c r="Q367" s="2"/>
      <c r="R367" s="2"/>
      <c r="S367" s="2"/>
      <c r="T367" s="2"/>
      <c r="U367" s="47" t="str">
        <f aca="false">IF($G367="","",IF($G367&lt;0,IF(N($U366)=0,1,$U366+1),0))</f>
        <v/>
      </c>
      <c r="V367" s="47" t="str">
        <f aca="false">IF($G367="","",IF($V366="",'Empieza aquí'!$D$8,$V366)+$G367)</f>
        <v/>
      </c>
      <c r="W367" s="47" t="str">
        <f aca="false">IF($V367="","",MAX(IF($W366="",'Empieza aquí'!$D$8,$W366),$V367))</f>
        <v/>
      </c>
      <c r="X367" s="47" t="str">
        <f aca="false">IF($V367="","",$V367-$W367)</f>
        <v/>
      </c>
      <c r="Y367" s="3"/>
      <c r="Z367" s="3"/>
      <c r="AA367" s="3"/>
      <c r="AB367" s="3"/>
      <c r="AC367" s="3"/>
      <c r="AD367" s="3"/>
      <c r="AE367" s="3"/>
      <c r="AF367" s="3"/>
      <c r="AG367" s="3"/>
      <c r="AH367" s="3"/>
    </row>
    <row r="368" customFormat="false" ht="15" hidden="false" customHeight="true" outlineLevel="0" collapsed="false">
      <c r="A368" s="2"/>
      <c r="B368" s="36"/>
      <c r="C368" s="37"/>
      <c r="D368" s="37"/>
      <c r="E368" s="38"/>
      <c r="F368" s="39"/>
      <c r="G368" s="40" t="str">
        <f aca="false">IF(OR($E368="",$C368="",$D368=""),"",$E368*$D368*IFERROR(INDEX(Listas!$C$6:$C$20,MATCH($C368,Listas!$B$6:$B$20,0)),0)-$D368*IFERROR(INDEX(Listas!$D$6:$D$20,MATCH($C368,Listas!$B$6:$B$20,0)),0))</f>
        <v/>
      </c>
      <c r="H368" s="41" t="str">
        <f aca="false">IF(OR($F368="",$C368="",$D368=""),"",ABS($F368)*$D368*IFERROR(INDEX(Listas!$C$6:$C$20,MATCH($C368,Listas!$B$6:$B$20,0)),0))</f>
        <v/>
      </c>
      <c r="I368" s="42" t="str">
        <f aca="false">IF(OR($E368="",$F368="",$F368=0),"",$E368/ABS($F368))</f>
        <v/>
      </c>
      <c r="J368" s="43" t="str">
        <f aca="false">IF($B368="","",INDEX(Listas!$G$6:$G$12,WEEKDAY($B368,1)))</f>
        <v/>
      </c>
      <c r="K368" s="43" t="str">
        <f aca="false">IFERROR(IF($L368="","",TEXT(IF($L368&lt;1,HOUR($L368),INT($L368)),"00")&amp;":00"),"")</f>
        <v/>
      </c>
      <c r="L368" s="44"/>
      <c r="M368" s="45"/>
      <c r="N368" s="46"/>
      <c r="O368" s="45"/>
      <c r="P368" s="2"/>
      <c r="Q368" s="2"/>
      <c r="R368" s="2"/>
      <c r="S368" s="2"/>
      <c r="T368" s="2"/>
      <c r="U368" s="47" t="str">
        <f aca="false">IF($G368="","",IF($G368&lt;0,IF(N($U367)=0,1,$U367+1),0))</f>
        <v/>
      </c>
      <c r="V368" s="47" t="str">
        <f aca="false">IF($G368="","",IF($V367="",'Empieza aquí'!$D$8,$V367)+$G368)</f>
        <v/>
      </c>
      <c r="W368" s="47" t="str">
        <f aca="false">IF($V368="","",MAX(IF($W367="",'Empieza aquí'!$D$8,$W367),$V368))</f>
        <v/>
      </c>
      <c r="X368" s="47" t="str">
        <f aca="false">IF($V368="","",$V368-$W368)</f>
        <v/>
      </c>
      <c r="Y368" s="3"/>
      <c r="Z368" s="3"/>
      <c r="AA368" s="3"/>
      <c r="AB368" s="3"/>
      <c r="AC368" s="3"/>
      <c r="AD368" s="3"/>
      <c r="AE368" s="3"/>
      <c r="AF368" s="3"/>
      <c r="AG368" s="3"/>
      <c r="AH368" s="3"/>
    </row>
    <row r="369" customFormat="false" ht="15" hidden="false" customHeight="true" outlineLevel="0" collapsed="false">
      <c r="A369" s="2"/>
      <c r="B369" s="36"/>
      <c r="C369" s="37"/>
      <c r="D369" s="37"/>
      <c r="E369" s="38"/>
      <c r="F369" s="39"/>
      <c r="G369" s="40" t="str">
        <f aca="false">IF(OR($E369="",$C369="",$D369=""),"",$E369*$D369*IFERROR(INDEX(Listas!$C$6:$C$20,MATCH($C369,Listas!$B$6:$B$20,0)),0)-$D369*IFERROR(INDEX(Listas!$D$6:$D$20,MATCH($C369,Listas!$B$6:$B$20,0)),0))</f>
        <v/>
      </c>
      <c r="H369" s="41" t="str">
        <f aca="false">IF(OR($F369="",$C369="",$D369=""),"",ABS($F369)*$D369*IFERROR(INDEX(Listas!$C$6:$C$20,MATCH($C369,Listas!$B$6:$B$20,0)),0))</f>
        <v/>
      </c>
      <c r="I369" s="42" t="str">
        <f aca="false">IF(OR($E369="",$F369="",$F369=0),"",$E369/ABS($F369))</f>
        <v/>
      </c>
      <c r="J369" s="43" t="str">
        <f aca="false">IF($B369="","",INDEX(Listas!$G$6:$G$12,WEEKDAY($B369,1)))</f>
        <v/>
      </c>
      <c r="K369" s="43" t="str">
        <f aca="false">IFERROR(IF($L369="","",TEXT(IF($L369&lt;1,HOUR($L369),INT($L369)),"00")&amp;":00"),"")</f>
        <v/>
      </c>
      <c r="L369" s="44"/>
      <c r="M369" s="45"/>
      <c r="N369" s="46"/>
      <c r="O369" s="45"/>
      <c r="P369" s="2"/>
      <c r="Q369" s="2"/>
      <c r="R369" s="2"/>
      <c r="S369" s="2"/>
      <c r="T369" s="2"/>
      <c r="U369" s="47" t="str">
        <f aca="false">IF($G369="","",IF($G369&lt;0,IF(N($U368)=0,1,$U368+1),0))</f>
        <v/>
      </c>
      <c r="V369" s="47" t="str">
        <f aca="false">IF($G369="","",IF($V368="",'Empieza aquí'!$D$8,$V368)+$G369)</f>
        <v/>
      </c>
      <c r="W369" s="47" t="str">
        <f aca="false">IF($V369="","",MAX(IF($W368="",'Empieza aquí'!$D$8,$W368),$V369))</f>
        <v/>
      </c>
      <c r="X369" s="47" t="str">
        <f aca="false">IF($V369="","",$V369-$W369)</f>
        <v/>
      </c>
      <c r="Y369" s="3"/>
      <c r="Z369" s="3"/>
      <c r="AA369" s="3"/>
      <c r="AB369" s="3"/>
      <c r="AC369" s="3"/>
      <c r="AD369" s="3"/>
      <c r="AE369" s="3"/>
      <c r="AF369" s="3"/>
      <c r="AG369" s="3"/>
      <c r="AH369" s="3"/>
    </row>
    <row r="370" customFormat="false" ht="15" hidden="false" customHeight="true" outlineLevel="0" collapsed="false">
      <c r="A370" s="2"/>
      <c r="B370" s="36"/>
      <c r="C370" s="37"/>
      <c r="D370" s="37"/>
      <c r="E370" s="38"/>
      <c r="F370" s="39"/>
      <c r="G370" s="40" t="str">
        <f aca="false">IF(OR($E370="",$C370="",$D370=""),"",$E370*$D370*IFERROR(INDEX(Listas!$C$6:$C$20,MATCH($C370,Listas!$B$6:$B$20,0)),0)-$D370*IFERROR(INDEX(Listas!$D$6:$D$20,MATCH($C370,Listas!$B$6:$B$20,0)),0))</f>
        <v/>
      </c>
      <c r="H370" s="41" t="str">
        <f aca="false">IF(OR($F370="",$C370="",$D370=""),"",ABS($F370)*$D370*IFERROR(INDEX(Listas!$C$6:$C$20,MATCH($C370,Listas!$B$6:$B$20,0)),0))</f>
        <v/>
      </c>
      <c r="I370" s="42" t="str">
        <f aca="false">IF(OR($E370="",$F370="",$F370=0),"",$E370/ABS($F370))</f>
        <v/>
      </c>
      <c r="J370" s="43" t="str">
        <f aca="false">IF($B370="","",INDEX(Listas!$G$6:$G$12,WEEKDAY($B370,1)))</f>
        <v/>
      </c>
      <c r="K370" s="43" t="str">
        <f aca="false">IFERROR(IF($L370="","",TEXT(IF($L370&lt;1,HOUR($L370),INT($L370)),"00")&amp;":00"),"")</f>
        <v/>
      </c>
      <c r="L370" s="44"/>
      <c r="M370" s="45"/>
      <c r="N370" s="46"/>
      <c r="O370" s="45"/>
      <c r="P370" s="2"/>
      <c r="Q370" s="2"/>
      <c r="R370" s="2"/>
      <c r="S370" s="2"/>
      <c r="T370" s="2"/>
      <c r="U370" s="47" t="str">
        <f aca="false">IF($G370="","",IF($G370&lt;0,IF(N($U369)=0,1,$U369+1),0))</f>
        <v/>
      </c>
      <c r="V370" s="47" t="str">
        <f aca="false">IF($G370="","",IF($V369="",'Empieza aquí'!$D$8,$V369)+$G370)</f>
        <v/>
      </c>
      <c r="W370" s="47" t="str">
        <f aca="false">IF($V370="","",MAX(IF($W369="",'Empieza aquí'!$D$8,$W369),$V370))</f>
        <v/>
      </c>
      <c r="X370" s="47" t="str">
        <f aca="false">IF($V370="","",$V370-$W370)</f>
        <v/>
      </c>
      <c r="Y370" s="3"/>
      <c r="Z370" s="3"/>
      <c r="AA370" s="3"/>
      <c r="AB370" s="3"/>
      <c r="AC370" s="3"/>
      <c r="AD370" s="3"/>
      <c r="AE370" s="3"/>
      <c r="AF370" s="3"/>
      <c r="AG370" s="3"/>
      <c r="AH370" s="3"/>
    </row>
    <row r="371" customFormat="false" ht="15" hidden="false" customHeight="true" outlineLevel="0" collapsed="false">
      <c r="A371" s="2"/>
      <c r="B371" s="36"/>
      <c r="C371" s="37"/>
      <c r="D371" s="37"/>
      <c r="E371" s="38"/>
      <c r="F371" s="39"/>
      <c r="G371" s="40" t="str">
        <f aca="false">IF(OR($E371="",$C371="",$D371=""),"",$E371*$D371*IFERROR(INDEX(Listas!$C$6:$C$20,MATCH($C371,Listas!$B$6:$B$20,0)),0)-$D371*IFERROR(INDEX(Listas!$D$6:$D$20,MATCH($C371,Listas!$B$6:$B$20,0)),0))</f>
        <v/>
      </c>
      <c r="H371" s="41" t="str">
        <f aca="false">IF(OR($F371="",$C371="",$D371=""),"",ABS($F371)*$D371*IFERROR(INDEX(Listas!$C$6:$C$20,MATCH($C371,Listas!$B$6:$B$20,0)),0))</f>
        <v/>
      </c>
      <c r="I371" s="42" t="str">
        <f aca="false">IF(OR($E371="",$F371="",$F371=0),"",$E371/ABS($F371))</f>
        <v/>
      </c>
      <c r="J371" s="43" t="str">
        <f aca="false">IF($B371="","",INDEX(Listas!$G$6:$G$12,WEEKDAY($B371,1)))</f>
        <v/>
      </c>
      <c r="K371" s="43" t="str">
        <f aca="false">IFERROR(IF($L371="","",TEXT(IF($L371&lt;1,HOUR($L371),INT($L371)),"00")&amp;":00"),"")</f>
        <v/>
      </c>
      <c r="L371" s="44"/>
      <c r="M371" s="45"/>
      <c r="N371" s="46"/>
      <c r="O371" s="45"/>
      <c r="P371" s="2"/>
      <c r="Q371" s="2"/>
      <c r="R371" s="2"/>
      <c r="S371" s="2"/>
      <c r="T371" s="2"/>
      <c r="U371" s="47" t="str">
        <f aca="false">IF($G371="","",IF($G371&lt;0,IF(N($U370)=0,1,$U370+1),0))</f>
        <v/>
      </c>
      <c r="V371" s="47" t="str">
        <f aca="false">IF($G371="","",IF($V370="",'Empieza aquí'!$D$8,$V370)+$G371)</f>
        <v/>
      </c>
      <c r="W371" s="47" t="str">
        <f aca="false">IF($V371="","",MAX(IF($W370="",'Empieza aquí'!$D$8,$W370),$V371))</f>
        <v/>
      </c>
      <c r="X371" s="47" t="str">
        <f aca="false">IF($V371="","",$V371-$W371)</f>
        <v/>
      </c>
      <c r="Y371" s="3"/>
      <c r="Z371" s="3"/>
      <c r="AA371" s="3"/>
      <c r="AB371" s="3"/>
      <c r="AC371" s="3"/>
      <c r="AD371" s="3"/>
      <c r="AE371" s="3"/>
      <c r="AF371" s="3"/>
      <c r="AG371" s="3"/>
      <c r="AH371" s="3"/>
    </row>
    <row r="372" customFormat="false" ht="15" hidden="false" customHeight="true" outlineLevel="0" collapsed="false">
      <c r="A372" s="2"/>
      <c r="B372" s="36"/>
      <c r="C372" s="37"/>
      <c r="D372" s="37"/>
      <c r="E372" s="38"/>
      <c r="F372" s="39"/>
      <c r="G372" s="40" t="str">
        <f aca="false">IF(OR($E372="",$C372="",$D372=""),"",$E372*$D372*IFERROR(INDEX(Listas!$C$6:$C$20,MATCH($C372,Listas!$B$6:$B$20,0)),0)-$D372*IFERROR(INDEX(Listas!$D$6:$D$20,MATCH($C372,Listas!$B$6:$B$20,0)),0))</f>
        <v/>
      </c>
      <c r="H372" s="41" t="str">
        <f aca="false">IF(OR($F372="",$C372="",$D372=""),"",ABS($F372)*$D372*IFERROR(INDEX(Listas!$C$6:$C$20,MATCH($C372,Listas!$B$6:$B$20,0)),0))</f>
        <v/>
      </c>
      <c r="I372" s="42" t="str">
        <f aca="false">IF(OR($E372="",$F372="",$F372=0),"",$E372/ABS($F372))</f>
        <v/>
      </c>
      <c r="J372" s="43" t="str">
        <f aca="false">IF($B372="","",INDEX(Listas!$G$6:$G$12,WEEKDAY($B372,1)))</f>
        <v/>
      </c>
      <c r="K372" s="43" t="str">
        <f aca="false">IFERROR(IF($L372="","",TEXT(IF($L372&lt;1,HOUR($L372),INT($L372)),"00")&amp;":00"),"")</f>
        <v/>
      </c>
      <c r="L372" s="44"/>
      <c r="M372" s="45"/>
      <c r="N372" s="46"/>
      <c r="O372" s="45"/>
      <c r="P372" s="2"/>
      <c r="Q372" s="2"/>
      <c r="R372" s="2"/>
      <c r="S372" s="2"/>
      <c r="T372" s="2"/>
      <c r="U372" s="47" t="str">
        <f aca="false">IF($G372="","",IF($G372&lt;0,IF(N($U371)=0,1,$U371+1),0))</f>
        <v/>
      </c>
      <c r="V372" s="47" t="str">
        <f aca="false">IF($G372="","",IF($V371="",'Empieza aquí'!$D$8,$V371)+$G372)</f>
        <v/>
      </c>
      <c r="W372" s="47" t="str">
        <f aca="false">IF($V372="","",MAX(IF($W371="",'Empieza aquí'!$D$8,$W371),$V372))</f>
        <v/>
      </c>
      <c r="X372" s="47" t="str">
        <f aca="false">IF($V372="","",$V372-$W372)</f>
        <v/>
      </c>
      <c r="Y372" s="3"/>
      <c r="Z372" s="3"/>
      <c r="AA372" s="3"/>
      <c r="AB372" s="3"/>
      <c r="AC372" s="3"/>
      <c r="AD372" s="3"/>
      <c r="AE372" s="3"/>
      <c r="AF372" s="3"/>
      <c r="AG372" s="3"/>
      <c r="AH372" s="3"/>
    </row>
    <row r="373" customFormat="false" ht="15" hidden="false" customHeight="true" outlineLevel="0" collapsed="false">
      <c r="A373" s="2"/>
      <c r="B373" s="36"/>
      <c r="C373" s="37"/>
      <c r="D373" s="37"/>
      <c r="E373" s="38"/>
      <c r="F373" s="39"/>
      <c r="G373" s="40" t="str">
        <f aca="false">IF(OR($E373="",$C373="",$D373=""),"",$E373*$D373*IFERROR(INDEX(Listas!$C$6:$C$20,MATCH($C373,Listas!$B$6:$B$20,0)),0)-$D373*IFERROR(INDEX(Listas!$D$6:$D$20,MATCH($C373,Listas!$B$6:$B$20,0)),0))</f>
        <v/>
      </c>
      <c r="H373" s="41" t="str">
        <f aca="false">IF(OR($F373="",$C373="",$D373=""),"",ABS($F373)*$D373*IFERROR(INDEX(Listas!$C$6:$C$20,MATCH($C373,Listas!$B$6:$B$20,0)),0))</f>
        <v/>
      </c>
      <c r="I373" s="42" t="str">
        <f aca="false">IF(OR($E373="",$F373="",$F373=0),"",$E373/ABS($F373))</f>
        <v/>
      </c>
      <c r="J373" s="43" t="str">
        <f aca="false">IF($B373="","",INDEX(Listas!$G$6:$G$12,WEEKDAY($B373,1)))</f>
        <v/>
      </c>
      <c r="K373" s="43" t="str">
        <f aca="false">IFERROR(IF($L373="","",TEXT(IF($L373&lt;1,HOUR($L373),INT($L373)),"00")&amp;":00"),"")</f>
        <v/>
      </c>
      <c r="L373" s="44"/>
      <c r="M373" s="45"/>
      <c r="N373" s="46"/>
      <c r="O373" s="45"/>
      <c r="P373" s="2"/>
      <c r="Q373" s="2"/>
      <c r="R373" s="2"/>
      <c r="S373" s="2"/>
      <c r="T373" s="2"/>
      <c r="U373" s="47" t="str">
        <f aca="false">IF($G373="","",IF($G373&lt;0,IF(N($U372)=0,1,$U372+1),0))</f>
        <v/>
      </c>
      <c r="V373" s="47" t="str">
        <f aca="false">IF($G373="","",IF($V372="",'Empieza aquí'!$D$8,$V372)+$G373)</f>
        <v/>
      </c>
      <c r="W373" s="47" t="str">
        <f aca="false">IF($V373="","",MAX(IF($W372="",'Empieza aquí'!$D$8,$W372),$V373))</f>
        <v/>
      </c>
      <c r="X373" s="47" t="str">
        <f aca="false">IF($V373="","",$V373-$W373)</f>
        <v/>
      </c>
      <c r="Y373" s="3"/>
      <c r="Z373" s="3"/>
      <c r="AA373" s="3"/>
      <c r="AB373" s="3"/>
      <c r="AC373" s="3"/>
      <c r="AD373" s="3"/>
      <c r="AE373" s="3"/>
      <c r="AF373" s="3"/>
      <c r="AG373" s="3"/>
      <c r="AH373" s="3"/>
    </row>
    <row r="374" customFormat="false" ht="15" hidden="false" customHeight="true" outlineLevel="0" collapsed="false">
      <c r="A374" s="2"/>
      <c r="B374" s="36"/>
      <c r="C374" s="37"/>
      <c r="D374" s="37"/>
      <c r="E374" s="38"/>
      <c r="F374" s="39"/>
      <c r="G374" s="40" t="str">
        <f aca="false">IF(OR($E374="",$C374="",$D374=""),"",$E374*$D374*IFERROR(INDEX(Listas!$C$6:$C$20,MATCH($C374,Listas!$B$6:$B$20,0)),0)-$D374*IFERROR(INDEX(Listas!$D$6:$D$20,MATCH($C374,Listas!$B$6:$B$20,0)),0))</f>
        <v/>
      </c>
      <c r="H374" s="41" t="str">
        <f aca="false">IF(OR($F374="",$C374="",$D374=""),"",ABS($F374)*$D374*IFERROR(INDEX(Listas!$C$6:$C$20,MATCH($C374,Listas!$B$6:$B$20,0)),0))</f>
        <v/>
      </c>
      <c r="I374" s="42" t="str">
        <f aca="false">IF(OR($E374="",$F374="",$F374=0),"",$E374/ABS($F374))</f>
        <v/>
      </c>
      <c r="J374" s="43" t="str">
        <f aca="false">IF($B374="","",INDEX(Listas!$G$6:$G$12,WEEKDAY($B374,1)))</f>
        <v/>
      </c>
      <c r="K374" s="43" t="str">
        <f aca="false">IFERROR(IF($L374="","",TEXT(IF($L374&lt;1,HOUR($L374),INT($L374)),"00")&amp;":00"),"")</f>
        <v/>
      </c>
      <c r="L374" s="44"/>
      <c r="M374" s="45"/>
      <c r="N374" s="46"/>
      <c r="O374" s="45"/>
      <c r="P374" s="2"/>
      <c r="Q374" s="2"/>
      <c r="R374" s="2"/>
      <c r="S374" s="2"/>
      <c r="T374" s="2"/>
      <c r="U374" s="47" t="str">
        <f aca="false">IF($G374="","",IF($G374&lt;0,IF(N($U373)=0,1,$U373+1),0))</f>
        <v/>
      </c>
      <c r="V374" s="47" t="str">
        <f aca="false">IF($G374="","",IF($V373="",'Empieza aquí'!$D$8,$V373)+$G374)</f>
        <v/>
      </c>
      <c r="W374" s="47" t="str">
        <f aca="false">IF($V374="","",MAX(IF($W373="",'Empieza aquí'!$D$8,$W373),$V374))</f>
        <v/>
      </c>
      <c r="X374" s="47" t="str">
        <f aca="false">IF($V374="","",$V374-$W374)</f>
        <v/>
      </c>
      <c r="Y374" s="3"/>
      <c r="Z374" s="3"/>
      <c r="AA374" s="3"/>
      <c r="AB374" s="3"/>
      <c r="AC374" s="3"/>
      <c r="AD374" s="3"/>
      <c r="AE374" s="3"/>
      <c r="AF374" s="3"/>
      <c r="AG374" s="3"/>
      <c r="AH374" s="3"/>
    </row>
    <row r="375" customFormat="false" ht="15" hidden="false" customHeight="true" outlineLevel="0" collapsed="false">
      <c r="A375" s="2"/>
      <c r="B375" s="36"/>
      <c r="C375" s="37"/>
      <c r="D375" s="37"/>
      <c r="E375" s="38"/>
      <c r="F375" s="39"/>
      <c r="G375" s="40" t="str">
        <f aca="false">IF(OR($E375="",$C375="",$D375=""),"",$E375*$D375*IFERROR(INDEX(Listas!$C$6:$C$20,MATCH($C375,Listas!$B$6:$B$20,0)),0)-$D375*IFERROR(INDEX(Listas!$D$6:$D$20,MATCH($C375,Listas!$B$6:$B$20,0)),0))</f>
        <v/>
      </c>
      <c r="H375" s="41" t="str">
        <f aca="false">IF(OR($F375="",$C375="",$D375=""),"",ABS($F375)*$D375*IFERROR(INDEX(Listas!$C$6:$C$20,MATCH($C375,Listas!$B$6:$B$20,0)),0))</f>
        <v/>
      </c>
      <c r="I375" s="42" t="str">
        <f aca="false">IF(OR($E375="",$F375="",$F375=0),"",$E375/ABS($F375))</f>
        <v/>
      </c>
      <c r="J375" s="43" t="str">
        <f aca="false">IF($B375="","",INDEX(Listas!$G$6:$G$12,WEEKDAY($B375,1)))</f>
        <v/>
      </c>
      <c r="K375" s="43" t="str">
        <f aca="false">IFERROR(IF($L375="","",TEXT(IF($L375&lt;1,HOUR($L375),INT($L375)),"00")&amp;":00"),"")</f>
        <v/>
      </c>
      <c r="L375" s="44"/>
      <c r="M375" s="45"/>
      <c r="N375" s="46"/>
      <c r="O375" s="45"/>
      <c r="P375" s="2"/>
      <c r="Q375" s="2"/>
      <c r="R375" s="2"/>
      <c r="S375" s="2"/>
      <c r="T375" s="2"/>
      <c r="U375" s="47" t="str">
        <f aca="false">IF($G375="","",IF($G375&lt;0,IF(N($U374)=0,1,$U374+1),0))</f>
        <v/>
      </c>
      <c r="V375" s="47" t="str">
        <f aca="false">IF($G375="","",IF($V374="",'Empieza aquí'!$D$8,$V374)+$G375)</f>
        <v/>
      </c>
      <c r="W375" s="47" t="str">
        <f aca="false">IF($V375="","",MAX(IF($W374="",'Empieza aquí'!$D$8,$W374),$V375))</f>
        <v/>
      </c>
      <c r="X375" s="47" t="str">
        <f aca="false">IF($V375="","",$V375-$W375)</f>
        <v/>
      </c>
      <c r="Y375" s="3"/>
      <c r="Z375" s="3"/>
      <c r="AA375" s="3"/>
      <c r="AB375" s="3"/>
      <c r="AC375" s="3"/>
      <c r="AD375" s="3"/>
      <c r="AE375" s="3"/>
      <c r="AF375" s="3"/>
      <c r="AG375" s="3"/>
      <c r="AH375" s="3"/>
    </row>
    <row r="376" customFormat="false" ht="15" hidden="false" customHeight="true" outlineLevel="0" collapsed="false">
      <c r="A376" s="2"/>
      <c r="B376" s="36"/>
      <c r="C376" s="37"/>
      <c r="D376" s="37"/>
      <c r="E376" s="38"/>
      <c r="F376" s="39"/>
      <c r="G376" s="40" t="str">
        <f aca="false">IF(OR($E376="",$C376="",$D376=""),"",$E376*$D376*IFERROR(INDEX(Listas!$C$6:$C$20,MATCH($C376,Listas!$B$6:$B$20,0)),0)-$D376*IFERROR(INDEX(Listas!$D$6:$D$20,MATCH($C376,Listas!$B$6:$B$20,0)),0))</f>
        <v/>
      </c>
      <c r="H376" s="41" t="str">
        <f aca="false">IF(OR($F376="",$C376="",$D376=""),"",ABS($F376)*$D376*IFERROR(INDEX(Listas!$C$6:$C$20,MATCH($C376,Listas!$B$6:$B$20,0)),0))</f>
        <v/>
      </c>
      <c r="I376" s="42" t="str">
        <f aca="false">IF(OR($E376="",$F376="",$F376=0),"",$E376/ABS($F376))</f>
        <v/>
      </c>
      <c r="J376" s="43" t="str">
        <f aca="false">IF($B376="","",INDEX(Listas!$G$6:$G$12,WEEKDAY($B376,1)))</f>
        <v/>
      </c>
      <c r="K376" s="43" t="str">
        <f aca="false">IFERROR(IF($L376="","",TEXT(IF($L376&lt;1,HOUR($L376),INT($L376)),"00")&amp;":00"),"")</f>
        <v/>
      </c>
      <c r="L376" s="44"/>
      <c r="M376" s="45"/>
      <c r="N376" s="46"/>
      <c r="O376" s="45"/>
      <c r="P376" s="2"/>
      <c r="Q376" s="2"/>
      <c r="R376" s="2"/>
      <c r="S376" s="2"/>
      <c r="T376" s="2"/>
      <c r="U376" s="47" t="str">
        <f aca="false">IF($G376="","",IF($G376&lt;0,IF(N($U375)=0,1,$U375+1),0))</f>
        <v/>
      </c>
      <c r="V376" s="47" t="str">
        <f aca="false">IF($G376="","",IF($V375="",'Empieza aquí'!$D$8,$V375)+$G376)</f>
        <v/>
      </c>
      <c r="W376" s="47" t="str">
        <f aca="false">IF($V376="","",MAX(IF($W375="",'Empieza aquí'!$D$8,$W375),$V376))</f>
        <v/>
      </c>
      <c r="X376" s="47" t="str">
        <f aca="false">IF($V376="","",$V376-$W376)</f>
        <v/>
      </c>
      <c r="Y376" s="3"/>
      <c r="Z376" s="3"/>
      <c r="AA376" s="3"/>
      <c r="AB376" s="3"/>
      <c r="AC376" s="3"/>
      <c r="AD376" s="3"/>
      <c r="AE376" s="3"/>
      <c r="AF376" s="3"/>
      <c r="AG376" s="3"/>
      <c r="AH376" s="3"/>
    </row>
    <row r="377" customFormat="false" ht="15" hidden="false" customHeight="true" outlineLevel="0" collapsed="false">
      <c r="A377" s="2"/>
      <c r="B377" s="36"/>
      <c r="C377" s="37"/>
      <c r="D377" s="37"/>
      <c r="E377" s="38"/>
      <c r="F377" s="39"/>
      <c r="G377" s="40" t="str">
        <f aca="false">IF(OR($E377="",$C377="",$D377=""),"",$E377*$D377*IFERROR(INDEX(Listas!$C$6:$C$20,MATCH($C377,Listas!$B$6:$B$20,0)),0)-$D377*IFERROR(INDEX(Listas!$D$6:$D$20,MATCH($C377,Listas!$B$6:$B$20,0)),0))</f>
        <v/>
      </c>
      <c r="H377" s="41" t="str">
        <f aca="false">IF(OR($F377="",$C377="",$D377=""),"",ABS($F377)*$D377*IFERROR(INDEX(Listas!$C$6:$C$20,MATCH($C377,Listas!$B$6:$B$20,0)),0))</f>
        <v/>
      </c>
      <c r="I377" s="42" t="str">
        <f aca="false">IF(OR($E377="",$F377="",$F377=0),"",$E377/ABS($F377))</f>
        <v/>
      </c>
      <c r="J377" s="43" t="str">
        <f aca="false">IF($B377="","",INDEX(Listas!$G$6:$G$12,WEEKDAY($B377,1)))</f>
        <v/>
      </c>
      <c r="K377" s="43" t="str">
        <f aca="false">IFERROR(IF($L377="","",TEXT(IF($L377&lt;1,HOUR($L377),INT($L377)),"00")&amp;":00"),"")</f>
        <v/>
      </c>
      <c r="L377" s="44"/>
      <c r="M377" s="45"/>
      <c r="N377" s="46"/>
      <c r="O377" s="45"/>
      <c r="P377" s="2"/>
      <c r="Q377" s="2"/>
      <c r="R377" s="2"/>
      <c r="S377" s="2"/>
      <c r="T377" s="2"/>
      <c r="U377" s="47" t="str">
        <f aca="false">IF($G377="","",IF($G377&lt;0,IF(N($U376)=0,1,$U376+1),0))</f>
        <v/>
      </c>
      <c r="V377" s="47" t="str">
        <f aca="false">IF($G377="","",IF($V376="",'Empieza aquí'!$D$8,$V376)+$G377)</f>
        <v/>
      </c>
      <c r="W377" s="47" t="str">
        <f aca="false">IF($V377="","",MAX(IF($W376="",'Empieza aquí'!$D$8,$W376),$V377))</f>
        <v/>
      </c>
      <c r="X377" s="47" t="str">
        <f aca="false">IF($V377="","",$V377-$W377)</f>
        <v/>
      </c>
      <c r="Y377" s="3"/>
      <c r="Z377" s="3"/>
      <c r="AA377" s="3"/>
      <c r="AB377" s="3"/>
      <c r="AC377" s="3"/>
      <c r="AD377" s="3"/>
      <c r="AE377" s="3"/>
      <c r="AF377" s="3"/>
      <c r="AG377" s="3"/>
      <c r="AH377" s="3"/>
    </row>
    <row r="378" customFormat="false" ht="15" hidden="false" customHeight="true" outlineLevel="0" collapsed="false">
      <c r="A378" s="2"/>
      <c r="B378" s="36"/>
      <c r="C378" s="37"/>
      <c r="D378" s="37"/>
      <c r="E378" s="38"/>
      <c r="F378" s="39"/>
      <c r="G378" s="40" t="str">
        <f aca="false">IF(OR($E378="",$C378="",$D378=""),"",$E378*$D378*IFERROR(INDEX(Listas!$C$6:$C$20,MATCH($C378,Listas!$B$6:$B$20,0)),0)-$D378*IFERROR(INDEX(Listas!$D$6:$D$20,MATCH($C378,Listas!$B$6:$B$20,0)),0))</f>
        <v/>
      </c>
      <c r="H378" s="41" t="str">
        <f aca="false">IF(OR($F378="",$C378="",$D378=""),"",ABS($F378)*$D378*IFERROR(INDEX(Listas!$C$6:$C$20,MATCH($C378,Listas!$B$6:$B$20,0)),0))</f>
        <v/>
      </c>
      <c r="I378" s="42" t="str">
        <f aca="false">IF(OR($E378="",$F378="",$F378=0),"",$E378/ABS($F378))</f>
        <v/>
      </c>
      <c r="J378" s="43" t="str">
        <f aca="false">IF($B378="","",INDEX(Listas!$G$6:$G$12,WEEKDAY($B378,1)))</f>
        <v/>
      </c>
      <c r="K378" s="43" t="str">
        <f aca="false">IFERROR(IF($L378="","",TEXT(IF($L378&lt;1,HOUR($L378),INT($L378)),"00")&amp;":00"),"")</f>
        <v/>
      </c>
      <c r="L378" s="44"/>
      <c r="M378" s="45"/>
      <c r="N378" s="46"/>
      <c r="O378" s="45"/>
      <c r="P378" s="2"/>
      <c r="Q378" s="2"/>
      <c r="R378" s="2"/>
      <c r="S378" s="2"/>
      <c r="T378" s="2"/>
      <c r="U378" s="47" t="str">
        <f aca="false">IF($G378="","",IF($G378&lt;0,IF(N($U377)=0,1,$U377+1),0))</f>
        <v/>
      </c>
      <c r="V378" s="47" t="str">
        <f aca="false">IF($G378="","",IF($V377="",'Empieza aquí'!$D$8,$V377)+$G378)</f>
        <v/>
      </c>
      <c r="W378" s="47" t="str">
        <f aca="false">IF($V378="","",MAX(IF($W377="",'Empieza aquí'!$D$8,$W377),$V378))</f>
        <v/>
      </c>
      <c r="X378" s="47" t="str">
        <f aca="false">IF($V378="","",$V378-$W378)</f>
        <v/>
      </c>
      <c r="Y378" s="3"/>
      <c r="Z378" s="3"/>
      <c r="AA378" s="3"/>
      <c r="AB378" s="3"/>
      <c r="AC378" s="3"/>
      <c r="AD378" s="3"/>
      <c r="AE378" s="3"/>
      <c r="AF378" s="3"/>
      <c r="AG378" s="3"/>
      <c r="AH378" s="3"/>
    </row>
    <row r="379" customFormat="false" ht="15" hidden="false" customHeight="true" outlineLevel="0" collapsed="false">
      <c r="A379" s="2"/>
      <c r="B379" s="36"/>
      <c r="C379" s="37"/>
      <c r="D379" s="37"/>
      <c r="E379" s="38"/>
      <c r="F379" s="39"/>
      <c r="G379" s="40" t="str">
        <f aca="false">IF(OR($E379="",$C379="",$D379=""),"",$E379*$D379*IFERROR(INDEX(Listas!$C$6:$C$20,MATCH($C379,Listas!$B$6:$B$20,0)),0)-$D379*IFERROR(INDEX(Listas!$D$6:$D$20,MATCH($C379,Listas!$B$6:$B$20,0)),0))</f>
        <v/>
      </c>
      <c r="H379" s="41" t="str">
        <f aca="false">IF(OR($F379="",$C379="",$D379=""),"",ABS($F379)*$D379*IFERROR(INDEX(Listas!$C$6:$C$20,MATCH($C379,Listas!$B$6:$B$20,0)),0))</f>
        <v/>
      </c>
      <c r="I379" s="42" t="str">
        <f aca="false">IF(OR($E379="",$F379="",$F379=0),"",$E379/ABS($F379))</f>
        <v/>
      </c>
      <c r="J379" s="43" t="str">
        <f aca="false">IF($B379="","",INDEX(Listas!$G$6:$G$12,WEEKDAY($B379,1)))</f>
        <v/>
      </c>
      <c r="K379" s="43" t="str">
        <f aca="false">IFERROR(IF($L379="","",TEXT(IF($L379&lt;1,HOUR($L379),INT($L379)),"00")&amp;":00"),"")</f>
        <v/>
      </c>
      <c r="L379" s="44"/>
      <c r="M379" s="45"/>
      <c r="N379" s="46"/>
      <c r="O379" s="45"/>
      <c r="P379" s="2"/>
      <c r="Q379" s="2"/>
      <c r="R379" s="2"/>
      <c r="S379" s="2"/>
      <c r="T379" s="2"/>
      <c r="U379" s="47" t="str">
        <f aca="false">IF($G379="","",IF($G379&lt;0,IF(N($U378)=0,1,$U378+1),0))</f>
        <v/>
      </c>
      <c r="V379" s="47" t="str">
        <f aca="false">IF($G379="","",IF($V378="",'Empieza aquí'!$D$8,$V378)+$G379)</f>
        <v/>
      </c>
      <c r="W379" s="47" t="str">
        <f aca="false">IF($V379="","",MAX(IF($W378="",'Empieza aquí'!$D$8,$W378),$V379))</f>
        <v/>
      </c>
      <c r="X379" s="47" t="str">
        <f aca="false">IF($V379="","",$V379-$W379)</f>
        <v/>
      </c>
      <c r="Y379" s="3"/>
      <c r="Z379" s="3"/>
      <c r="AA379" s="3"/>
      <c r="AB379" s="3"/>
      <c r="AC379" s="3"/>
      <c r="AD379" s="3"/>
      <c r="AE379" s="3"/>
      <c r="AF379" s="3"/>
      <c r="AG379" s="3"/>
      <c r="AH379" s="3"/>
    </row>
    <row r="380" customFormat="false" ht="15" hidden="false" customHeight="true" outlineLevel="0" collapsed="false">
      <c r="A380" s="2"/>
      <c r="B380" s="36"/>
      <c r="C380" s="37"/>
      <c r="D380" s="37"/>
      <c r="E380" s="38"/>
      <c r="F380" s="39"/>
      <c r="G380" s="40" t="str">
        <f aca="false">IF(OR($E380="",$C380="",$D380=""),"",$E380*$D380*IFERROR(INDEX(Listas!$C$6:$C$20,MATCH($C380,Listas!$B$6:$B$20,0)),0)-$D380*IFERROR(INDEX(Listas!$D$6:$D$20,MATCH($C380,Listas!$B$6:$B$20,0)),0))</f>
        <v/>
      </c>
      <c r="H380" s="41" t="str">
        <f aca="false">IF(OR($F380="",$C380="",$D380=""),"",ABS($F380)*$D380*IFERROR(INDEX(Listas!$C$6:$C$20,MATCH($C380,Listas!$B$6:$B$20,0)),0))</f>
        <v/>
      </c>
      <c r="I380" s="42" t="str">
        <f aca="false">IF(OR($E380="",$F380="",$F380=0),"",$E380/ABS($F380))</f>
        <v/>
      </c>
      <c r="J380" s="43" t="str">
        <f aca="false">IF($B380="","",INDEX(Listas!$G$6:$G$12,WEEKDAY($B380,1)))</f>
        <v/>
      </c>
      <c r="K380" s="43" t="str">
        <f aca="false">IFERROR(IF($L380="","",TEXT(IF($L380&lt;1,HOUR($L380),INT($L380)),"00")&amp;":00"),"")</f>
        <v/>
      </c>
      <c r="L380" s="44"/>
      <c r="M380" s="45"/>
      <c r="N380" s="46"/>
      <c r="O380" s="45"/>
      <c r="P380" s="2"/>
      <c r="Q380" s="2"/>
      <c r="R380" s="2"/>
      <c r="S380" s="2"/>
      <c r="T380" s="2"/>
      <c r="U380" s="47" t="str">
        <f aca="false">IF($G380="","",IF($G380&lt;0,IF(N($U379)=0,1,$U379+1),0))</f>
        <v/>
      </c>
      <c r="V380" s="47" t="str">
        <f aca="false">IF($G380="","",IF($V379="",'Empieza aquí'!$D$8,$V379)+$G380)</f>
        <v/>
      </c>
      <c r="W380" s="47" t="str">
        <f aca="false">IF($V380="","",MAX(IF($W379="",'Empieza aquí'!$D$8,$W379),$V380))</f>
        <v/>
      </c>
      <c r="X380" s="47" t="str">
        <f aca="false">IF($V380="","",$V380-$W380)</f>
        <v/>
      </c>
      <c r="Y380" s="3"/>
      <c r="Z380" s="3"/>
      <c r="AA380" s="3"/>
      <c r="AB380" s="3"/>
      <c r="AC380" s="3"/>
      <c r="AD380" s="3"/>
      <c r="AE380" s="3"/>
      <c r="AF380" s="3"/>
      <c r="AG380" s="3"/>
      <c r="AH380" s="3"/>
    </row>
    <row r="381" customFormat="false" ht="15" hidden="false" customHeight="true" outlineLevel="0" collapsed="false">
      <c r="A381" s="2"/>
      <c r="B381" s="36"/>
      <c r="C381" s="37"/>
      <c r="D381" s="37"/>
      <c r="E381" s="38"/>
      <c r="F381" s="39"/>
      <c r="G381" s="40" t="str">
        <f aca="false">IF(OR($E381="",$C381="",$D381=""),"",$E381*$D381*IFERROR(INDEX(Listas!$C$6:$C$20,MATCH($C381,Listas!$B$6:$B$20,0)),0)-$D381*IFERROR(INDEX(Listas!$D$6:$D$20,MATCH($C381,Listas!$B$6:$B$20,0)),0))</f>
        <v/>
      </c>
      <c r="H381" s="41" t="str">
        <f aca="false">IF(OR($F381="",$C381="",$D381=""),"",ABS($F381)*$D381*IFERROR(INDEX(Listas!$C$6:$C$20,MATCH($C381,Listas!$B$6:$B$20,0)),0))</f>
        <v/>
      </c>
      <c r="I381" s="42" t="str">
        <f aca="false">IF(OR($E381="",$F381="",$F381=0),"",$E381/ABS($F381))</f>
        <v/>
      </c>
      <c r="J381" s="43" t="str">
        <f aca="false">IF($B381="","",INDEX(Listas!$G$6:$G$12,WEEKDAY($B381,1)))</f>
        <v/>
      </c>
      <c r="K381" s="43" t="str">
        <f aca="false">IFERROR(IF($L381="","",TEXT(IF($L381&lt;1,HOUR($L381),INT($L381)),"00")&amp;":00"),"")</f>
        <v/>
      </c>
      <c r="L381" s="44"/>
      <c r="M381" s="45"/>
      <c r="N381" s="46"/>
      <c r="O381" s="45"/>
      <c r="P381" s="2"/>
      <c r="Q381" s="2"/>
      <c r="R381" s="2"/>
      <c r="S381" s="2"/>
      <c r="T381" s="2"/>
      <c r="U381" s="47" t="str">
        <f aca="false">IF($G381="","",IF($G381&lt;0,IF(N($U380)=0,1,$U380+1),0))</f>
        <v/>
      </c>
      <c r="V381" s="47" t="str">
        <f aca="false">IF($G381="","",IF($V380="",'Empieza aquí'!$D$8,$V380)+$G381)</f>
        <v/>
      </c>
      <c r="W381" s="47" t="str">
        <f aca="false">IF($V381="","",MAX(IF($W380="",'Empieza aquí'!$D$8,$W380),$V381))</f>
        <v/>
      </c>
      <c r="X381" s="47" t="str">
        <f aca="false">IF($V381="","",$V381-$W381)</f>
        <v/>
      </c>
      <c r="Y381" s="3"/>
      <c r="Z381" s="3"/>
      <c r="AA381" s="3"/>
      <c r="AB381" s="3"/>
      <c r="AC381" s="3"/>
      <c r="AD381" s="3"/>
      <c r="AE381" s="3"/>
      <c r="AF381" s="3"/>
      <c r="AG381" s="3"/>
      <c r="AH381" s="3"/>
    </row>
    <row r="382" customFormat="false" ht="15" hidden="false" customHeight="true" outlineLevel="0" collapsed="false">
      <c r="A382" s="2"/>
      <c r="B382" s="36"/>
      <c r="C382" s="37"/>
      <c r="D382" s="37"/>
      <c r="E382" s="38"/>
      <c r="F382" s="39"/>
      <c r="G382" s="40" t="str">
        <f aca="false">IF(OR($E382="",$C382="",$D382=""),"",$E382*$D382*IFERROR(INDEX(Listas!$C$6:$C$20,MATCH($C382,Listas!$B$6:$B$20,0)),0)-$D382*IFERROR(INDEX(Listas!$D$6:$D$20,MATCH($C382,Listas!$B$6:$B$20,0)),0))</f>
        <v/>
      </c>
      <c r="H382" s="41" t="str">
        <f aca="false">IF(OR($F382="",$C382="",$D382=""),"",ABS($F382)*$D382*IFERROR(INDEX(Listas!$C$6:$C$20,MATCH($C382,Listas!$B$6:$B$20,0)),0))</f>
        <v/>
      </c>
      <c r="I382" s="42" t="str">
        <f aca="false">IF(OR($E382="",$F382="",$F382=0),"",$E382/ABS($F382))</f>
        <v/>
      </c>
      <c r="J382" s="43" t="str">
        <f aca="false">IF($B382="","",INDEX(Listas!$G$6:$G$12,WEEKDAY($B382,1)))</f>
        <v/>
      </c>
      <c r="K382" s="43" t="str">
        <f aca="false">IFERROR(IF($L382="","",TEXT(IF($L382&lt;1,HOUR($L382),INT($L382)),"00")&amp;":00"),"")</f>
        <v/>
      </c>
      <c r="L382" s="44"/>
      <c r="M382" s="45"/>
      <c r="N382" s="46"/>
      <c r="O382" s="45"/>
      <c r="P382" s="2"/>
      <c r="Q382" s="2"/>
      <c r="R382" s="2"/>
      <c r="S382" s="2"/>
      <c r="T382" s="2"/>
      <c r="U382" s="47" t="str">
        <f aca="false">IF($G382="","",IF($G382&lt;0,IF(N($U381)=0,1,$U381+1),0))</f>
        <v/>
      </c>
      <c r="V382" s="47" t="str">
        <f aca="false">IF($G382="","",IF($V381="",'Empieza aquí'!$D$8,$V381)+$G382)</f>
        <v/>
      </c>
      <c r="W382" s="47" t="str">
        <f aca="false">IF($V382="","",MAX(IF($W381="",'Empieza aquí'!$D$8,$W381),$V382))</f>
        <v/>
      </c>
      <c r="X382" s="47" t="str">
        <f aca="false">IF($V382="","",$V382-$W382)</f>
        <v/>
      </c>
      <c r="Y382" s="3"/>
      <c r="Z382" s="3"/>
      <c r="AA382" s="3"/>
      <c r="AB382" s="3"/>
      <c r="AC382" s="3"/>
      <c r="AD382" s="3"/>
      <c r="AE382" s="3"/>
      <c r="AF382" s="3"/>
      <c r="AG382" s="3"/>
      <c r="AH382" s="3"/>
    </row>
    <row r="383" customFormat="false" ht="15" hidden="false" customHeight="true" outlineLevel="0" collapsed="false">
      <c r="A383" s="2"/>
      <c r="B383" s="36"/>
      <c r="C383" s="37"/>
      <c r="D383" s="37"/>
      <c r="E383" s="38"/>
      <c r="F383" s="39"/>
      <c r="G383" s="40" t="str">
        <f aca="false">IF(OR($E383="",$C383="",$D383=""),"",$E383*$D383*IFERROR(INDEX(Listas!$C$6:$C$20,MATCH($C383,Listas!$B$6:$B$20,0)),0)-$D383*IFERROR(INDEX(Listas!$D$6:$D$20,MATCH($C383,Listas!$B$6:$B$20,0)),0))</f>
        <v/>
      </c>
      <c r="H383" s="41" t="str">
        <f aca="false">IF(OR($F383="",$C383="",$D383=""),"",ABS($F383)*$D383*IFERROR(INDEX(Listas!$C$6:$C$20,MATCH($C383,Listas!$B$6:$B$20,0)),0))</f>
        <v/>
      </c>
      <c r="I383" s="42" t="str">
        <f aca="false">IF(OR($E383="",$F383="",$F383=0),"",$E383/ABS($F383))</f>
        <v/>
      </c>
      <c r="J383" s="43" t="str">
        <f aca="false">IF($B383="","",INDEX(Listas!$G$6:$G$12,WEEKDAY($B383,1)))</f>
        <v/>
      </c>
      <c r="K383" s="43" t="str">
        <f aca="false">IFERROR(IF($L383="","",TEXT(IF($L383&lt;1,HOUR($L383),INT($L383)),"00")&amp;":00"),"")</f>
        <v/>
      </c>
      <c r="L383" s="44"/>
      <c r="M383" s="45"/>
      <c r="N383" s="46"/>
      <c r="O383" s="45"/>
      <c r="P383" s="2"/>
      <c r="Q383" s="2"/>
      <c r="R383" s="2"/>
      <c r="S383" s="2"/>
      <c r="T383" s="2"/>
      <c r="U383" s="47" t="str">
        <f aca="false">IF($G383="","",IF($G383&lt;0,IF(N($U382)=0,1,$U382+1),0))</f>
        <v/>
      </c>
      <c r="V383" s="47" t="str">
        <f aca="false">IF($G383="","",IF($V382="",'Empieza aquí'!$D$8,$V382)+$G383)</f>
        <v/>
      </c>
      <c r="W383" s="47" t="str">
        <f aca="false">IF($V383="","",MAX(IF($W382="",'Empieza aquí'!$D$8,$W382),$V383))</f>
        <v/>
      </c>
      <c r="X383" s="47" t="str">
        <f aca="false">IF($V383="","",$V383-$W383)</f>
        <v/>
      </c>
      <c r="Y383" s="3"/>
      <c r="Z383" s="3"/>
      <c r="AA383" s="3"/>
      <c r="AB383" s="3"/>
      <c r="AC383" s="3"/>
      <c r="AD383" s="3"/>
      <c r="AE383" s="3"/>
      <c r="AF383" s="3"/>
      <c r="AG383" s="3"/>
      <c r="AH383" s="3"/>
    </row>
    <row r="384" customFormat="false" ht="15" hidden="false" customHeight="true" outlineLevel="0" collapsed="false">
      <c r="A384" s="2"/>
      <c r="B384" s="36"/>
      <c r="C384" s="37"/>
      <c r="D384" s="37"/>
      <c r="E384" s="38"/>
      <c r="F384" s="39"/>
      <c r="G384" s="40" t="str">
        <f aca="false">IF(OR($E384="",$C384="",$D384=""),"",$E384*$D384*IFERROR(INDEX(Listas!$C$6:$C$20,MATCH($C384,Listas!$B$6:$B$20,0)),0)-$D384*IFERROR(INDEX(Listas!$D$6:$D$20,MATCH($C384,Listas!$B$6:$B$20,0)),0))</f>
        <v/>
      </c>
      <c r="H384" s="41" t="str">
        <f aca="false">IF(OR($F384="",$C384="",$D384=""),"",ABS($F384)*$D384*IFERROR(INDEX(Listas!$C$6:$C$20,MATCH($C384,Listas!$B$6:$B$20,0)),0))</f>
        <v/>
      </c>
      <c r="I384" s="42" t="str">
        <f aca="false">IF(OR($E384="",$F384="",$F384=0),"",$E384/ABS($F384))</f>
        <v/>
      </c>
      <c r="J384" s="43" t="str">
        <f aca="false">IF($B384="","",INDEX(Listas!$G$6:$G$12,WEEKDAY($B384,1)))</f>
        <v/>
      </c>
      <c r="K384" s="43" t="str">
        <f aca="false">IFERROR(IF($L384="","",TEXT(IF($L384&lt;1,HOUR($L384),INT($L384)),"00")&amp;":00"),"")</f>
        <v/>
      </c>
      <c r="L384" s="44"/>
      <c r="M384" s="45"/>
      <c r="N384" s="46"/>
      <c r="O384" s="45"/>
      <c r="P384" s="2"/>
      <c r="Q384" s="2"/>
      <c r="R384" s="2"/>
      <c r="S384" s="2"/>
      <c r="T384" s="2"/>
      <c r="U384" s="47" t="str">
        <f aca="false">IF($G384="","",IF($G384&lt;0,IF(N($U383)=0,1,$U383+1),0))</f>
        <v/>
      </c>
      <c r="V384" s="47" t="str">
        <f aca="false">IF($G384="","",IF($V383="",'Empieza aquí'!$D$8,$V383)+$G384)</f>
        <v/>
      </c>
      <c r="W384" s="47" t="str">
        <f aca="false">IF($V384="","",MAX(IF($W383="",'Empieza aquí'!$D$8,$W383),$V384))</f>
        <v/>
      </c>
      <c r="X384" s="47" t="str">
        <f aca="false">IF($V384="","",$V384-$W384)</f>
        <v/>
      </c>
      <c r="Y384" s="3"/>
      <c r="Z384" s="3"/>
      <c r="AA384" s="3"/>
      <c r="AB384" s="3"/>
      <c r="AC384" s="3"/>
      <c r="AD384" s="3"/>
      <c r="AE384" s="3"/>
      <c r="AF384" s="3"/>
      <c r="AG384" s="3"/>
      <c r="AH384" s="3"/>
    </row>
    <row r="385" customFormat="false" ht="15" hidden="false" customHeight="true" outlineLevel="0" collapsed="false">
      <c r="A385" s="2"/>
      <c r="B385" s="36"/>
      <c r="C385" s="37"/>
      <c r="D385" s="37"/>
      <c r="E385" s="38"/>
      <c r="F385" s="39"/>
      <c r="G385" s="40" t="str">
        <f aca="false">IF(OR($E385="",$C385="",$D385=""),"",$E385*$D385*IFERROR(INDEX(Listas!$C$6:$C$20,MATCH($C385,Listas!$B$6:$B$20,0)),0)-$D385*IFERROR(INDEX(Listas!$D$6:$D$20,MATCH($C385,Listas!$B$6:$B$20,0)),0))</f>
        <v/>
      </c>
      <c r="H385" s="41" t="str">
        <f aca="false">IF(OR($F385="",$C385="",$D385=""),"",ABS($F385)*$D385*IFERROR(INDEX(Listas!$C$6:$C$20,MATCH($C385,Listas!$B$6:$B$20,0)),0))</f>
        <v/>
      </c>
      <c r="I385" s="42" t="str">
        <f aca="false">IF(OR($E385="",$F385="",$F385=0),"",$E385/ABS($F385))</f>
        <v/>
      </c>
      <c r="J385" s="43" t="str">
        <f aca="false">IF($B385="","",INDEX(Listas!$G$6:$G$12,WEEKDAY($B385,1)))</f>
        <v/>
      </c>
      <c r="K385" s="43" t="str">
        <f aca="false">IFERROR(IF($L385="","",TEXT(IF($L385&lt;1,HOUR($L385),INT($L385)),"00")&amp;":00"),"")</f>
        <v/>
      </c>
      <c r="L385" s="44"/>
      <c r="M385" s="45"/>
      <c r="N385" s="46"/>
      <c r="O385" s="45"/>
      <c r="P385" s="2"/>
      <c r="Q385" s="2"/>
      <c r="R385" s="2"/>
      <c r="S385" s="2"/>
      <c r="T385" s="2"/>
      <c r="U385" s="47" t="str">
        <f aca="false">IF($G385="","",IF($G385&lt;0,IF(N($U384)=0,1,$U384+1),0))</f>
        <v/>
      </c>
      <c r="V385" s="47" t="str">
        <f aca="false">IF($G385="","",IF($V384="",'Empieza aquí'!$D$8,$V384)+$G385)</f>
        <v/>
      </c>
      <c r="W385" s="47" t="str">
        <f aca="false">IF($V385="","",MAX(IF($W384="",'Empieza aquí'!$D$8,$W384),$V385))</f>
        <v/>
      </c>
      <c r="X385" s="47" t="str">
        <f aca="false">IF($V385="","",$V385-$W385)</f>
        <v/>
      </c>
      <c r="Y385" s="3"/>
      <c r="Z385" s="3"/>
      <c r="AA385" s="3"/>
      <c r="AB385" s="3"/>
      <c r="AC385" s="3"/>
      <c r="AD385" s="3"/>
      <c r="AE385" s="3"/>
      <c r="AF385" s="3"/>
      <c r="AG385" s="3"/>
      <c r="AH385" s="3"/>
    </row>
    <row r="386" customFormat="false" ht="15" hidden="false" customHeight="true" outlineLevel="0" collapsed="false">
      <c r="A386" s="2"/>
      <c r="B386" s="36"/>
      <c r="C386" s="37"/>
      <c r="D386" s="37"/>
      <c r="E386" s="38"/>
      <c r="F386" s="39"/>
      <c r="G386" s="40" t="str">
        <f aca="false">IF(OR($E386="",$C386="",$D386=""),"",$E386*$D386*IFERROR(INDEX(Listas!$C$6:$C$20,MATCH($C386,Listas!$B$6:$B$20,0)),0)-$D386*IFERROR(INDEX(Listas!$D$6:$D$20,MATCH($C386,Listas!$B$6:$B$20,0)),0))</f>
        <v/>
      </c>
      <c r="H386" s="41" t="str">
        <f aca="false">IF(OR($F386="",$C386="",$D386=""),"",ABS($F386)*$D386*IFERROR(INDEX(Listas!$C$6:$C$20,MATCH($C386,Listas!$B$6:$B$20,0)),0))</f>
        <v/>
      </c>
      <c r="I386" s="42" t="str">
        <f aca="false">IF(OR($E386="",$F386="",$F386=0),"",$E386/ABS($F386))</f>
        <v/>
      </c>
      <c r="J386" s="43" t="str">
        <f aca="false">IF($B386="","",INDEX(Listas!$G$6:$G$12,WEEKDAY($B386,1)))</f>
        <v/>
      </c>
      <c r="K386" s="43" t="str">
        <f aca="false">IFERROR(IF($L386="","",TEXT(IF($L386&lt;1,HOUR($L386),INT($L386)),"00")&amp;":00"),"")</f>
        <v/>
      </c>
      <c r="L386" s="44"/>
      <c r="M386" s="45"/>
      <c r="N386" s="46"/>
      <c r="O386" s="45"/>
      <c r="P386" s="2"/>
      <c r="Q386" s="2"/>
      <c r="R386" s="2"/>
      <c r="S386" s="2"/>
      <c r="T386" s="2"/>
      <c r="U386" s="47" t="str">
        <f aca="false">IF($G386="","",IF($G386&lt;0,IF(N($U385)=0,1,$U385+1),0))</f>
        <v/>
      </c>
      <c r="V386" s="47" t="str">
        <f aca="false">IF($G386="","",IF($V385="",'Empieza aquí'!$D$8,$V385)+$G386)</f>
        <v/>
      </c>
      <c r="W386" s="47" t="str">
        <f aca="false">IF($V386="","",MAX(IF($W385="",'Empieza aquí'!$D$8,$W385),$V386))</f>
        <v/>
      </c>
      <c r="X386" s="47" t="str">
        <f aca="false">IF($V386="","",$V386-$W386)</f>
        <v/>
      </c>
      <c r="Y386" s="3"/>
      <c r="Z386" s="3"/>
      <c r="AA386" s="3"/>
      <c r="AB386" s="3"/>
      <c r="AC386" s="3"/>
      <c r="AD386" s="3"/>
      <c r="AE386" s="3"/>
      <c r="AF386" s="3"/>
      <c r="AG386" s="3"/>
      <c r="AH386" s="3"/>
    </row>
    <row r="387" customFormat="false" ht="15" hidden="false" customHeight="true" outlineLevel="0" collapsed="false">
      <c r="A387" s="2"/>
      <c r="B387" s="36"/>
      <c r="C387" s="37"/>
      <c r="D387" s="37"/>
      <c r="E387" s="38"/>
      <c r="F387" s="39"/>
      <c r="G387" s="40" t="str">
        <f aca="false">IF(OR($E387="",$C387="",$D387=""),"",$E387*$D387*IFERROR(INDEX(Listas!$C$6:$C$20,MATCH($C387,Listas!$B$6:$B$20,0)),0)-$D387*IFERROR(INDEX(Listas!$D$6:$D$20,MATCH($C387,Listas!$B$6:$B$20,0)),0))</f>
        <v/>
      </c>
      <c r="H387" s="41" t="str">
        <f aca="false">IF(OR($F387="",$C387="",$D387=""),"",ABS($F387)*$D387*IFERROR(INDEX(Listas!$C$6:$C$20,MATCH($C387,Listas!$B$6:$B$20,0)),0))</f>
        <v/>
      </c>
      <c r="I387" s="42" t="str">
        <f aca="false">IF(OR($E387="",$F387="",$F387=0),"",$E387/ABS($F387))</f>
        <v/>
      </c>
      <c r="J387" s="43" t="str">
        <f aca="false">IF($B387="","",INDEX(Listas!$G$6:$G$12,WEEKDAY($B387,1)))</f>
        <v/>
      </c>
      <c r="K387" s="43" t="str">
        <f aca="false">IFERROR(IF($L387="","",TEXT(IF($L387&lt;1,HOUR($L387),INT($L387)),"00")&amp;":00"),"")</f>
        <v/>
      </c>
      <c r="L387" s="44"/>
      <c r="M387" s="45"/>
      <c r="N387" s="46"/>
      <c r="O387" s="45"/>
      <c r="P387" s="2"/>
      <c r="Q387" s="2"/>
      <c r="R387" s="2"/>
      <c r="S387" s="2"/>
      <c r="T387" s="2"/>
      <c r="U387" s="47" t="str">
        <f aca="false">IF($G387="","",IF($G387&lt;0,IF(N($U386)=0,1,$U386+1),0))</f>
        <v/>
      </c>
      <c r="V387" s="47" t="str">
        <f aca="false">IF($G387="","",IF($V386="",'Empieza aquí'!$D$8,$V386)+$G387)</f>
        <v/>
      </c>
      <c r="W387" s="47" t="str">
        <f aca="false">IF($V387="","",MAX(IF($W386="",'Empieza aquí'!$D$8,$W386),$V387))</f>
        <v/>
      </c>
      <c r="X387" s="47" t="str">
        <f aca="false">IF($V387="","",$V387-$W387)</f>
        <v/>
      </c>
      <c r="Y387" s="3"/>
      <c r="Z387" s="3"/>
      <c r="AA387" s="3"/>
      <c r="AB387" s="3"/>
      <c r="AC387" s="3"/>
      <c r="AD387" s="3"/>
      <c r="AE387" s="3"/>
      <c r="AF387" s="3"/>
      <c r="AG387" s="3"/>
      <c r="AH387" s="3"/>
    </row>
    <row r="388" customFormat="false" ht="15" hidden="false" customHeight="true" outlineLevel="0" collapsed="false">
      <c r="A388" s="2"/>
      <c r="B388" s="36"/>
      <c r="C388" s="37"/>
      <c r="D388" s="37"/>
      <c r="E388" s="38"/>
      <c r="F388" s="39"/>
      <c r="G388" s="40" t="str">
        <f aca="false">IF(OR($E388="",$C388="",$D388=""),"",$E388*$D388*IFERROR(INDEX(Listas!$C$6:$C$20,MATCH($C388,Listas!$B$6:$B$20,0)),0)-$D388*IFERROR(INDEX(Listas!$D$6:$D$20,MATCH($C388,Listas!$B$6:$B$20,0)),0))</f>
        <v/>
      </c>
      <c r="H388" s="41" t="str">
        <f aca="false">IF(OR($F388="",$C388="",$D388=""),"",ABS($F388)*$D388*IFERROR(INDEX(Listas!$C$6:$C$20,MATCH($C388,Listas!$B$6:$B$20,0)),0))</f>
        <v/>
      </c>
      <c r="I388" s="42" t="str">
        <f aca="false">IF(OR($E388="",$F388="",$F388=0),"",$E388/ABS($F388))</f>
        <v/>
      </c>
      <c r="J388" s="43" t="str">
        <f aca="false">IF($B388="","",INDEX(Listas!$G$6:$G$12,WEEKDAY($B388,1)))</f>
        <v/>
      </c>
      <c r="K388" s="43" t="str">
        <f aca="false">IFERROR(IF($L388="","",TEXT(IF($L388&lt;1,HOUR($L388),INT($L388)),"00")&amp;":00"),"")</f>
        <v/>
      </c>
      <c r="L388" s="44"/>
      <c r="M388" s="45"/>
      <c r="N388" s="46"/>
      <c r="O388" s="45"/>
      <c r="P388" s="2"/>
      <c r="Q388" s="2"/>
      <c r="R388" s="2"/>
      <c r="S388" s="2"/>
      <c r="T388" s="2"/>
      <c r="U388" s="47" t="str">
        <f aca="false">IF($G388="","",IF($G388&lt;0,IF(N($U387)=0,1,$U387+1),0))</f>
        <v/>
      </c>
      <c r="V388" s="47" t="str">
        <f aca="false">IF($G388="","",IF($V387="",'Empieza aquí'!$D$8,$V387)+$G388)</f>
        <v/>
      </c>
      <c r="W388" s="47" t="str">
        <f aca="false">IF($V388="","",MAX(IF($W387="",'Empieza aquí'!$D$8,$W387),$V388))</f>
        <v/>
      </c>
      <c r="X388" s="47" t="str">
        <f aca="false">IF($V388="","",$V388-$W388)</f>
        <v/>
      </c>
      <c r="Y388" s="3"/>
      <c r="Z388" s="3"/>
      <c r="AA388" s="3"/>
      <c r="AB388" s="3"/>
      <c r="AC388" s="3"/>
      <c r="AD388" s="3"/>
      <c r="AE388" s="3"/>
      <c r="AF388" s="3"/>
      <c r="AG388" s="3"/>
      <c r="AH388" s="3"/>
    </row>
    <row r="389" customFormat="false" ht="15" hidden="false" customHeight="true" outlineLevel="0" collapsed="false">
      <c r="A389" s="2"/>
      <c r="B389" s="36"/>
      <c r="C389" s="37"/>
      <c r="D389" s="37"/>
      <c r="E389" s="38"/>
      <c r="F389" s="39"/>
      <c r="G389" s="40" t="str">
        <f aca="false">IF(OR($E389="",$C389="",$D389=""),"",$E389*$D389*IFERROR(INDEX(Listas!$C$6:$C$20,MATCH($C389,Listas!$B$6:$B$20,0)),0)-$D389*IFERROR(INDEX(Listas!$D$6:$D$20,MATCH($C389,Listas!$B$6:$B$20,0)),0))</f>
        <v/>
      </c>
      <c r="H389" s="41" t="str">
        <f aca="false">IF(OR($F389="",$C389="",$D389=""),"",ABS($F389)*$D389*IFERROR(INDEX(Listas!$C$6:$C$20,MATCH($C389,Listas!$B$6:$B$20,0)),0))</f>
        <v/>
      </c>
      <c r="I389" s="42" t="str">
        <f aca="false">IF(OR($E389="",$F389="",$F389=0),"",$E389/ABS($F389))</f>
        <v/>
      </c>
      <c r="J389" s="43" t="str">
        <f aca="false">IF($B389="","",INDEX(Listas!$G$6:$G$12,WEEKDAY($B389,1)))</f>
        <v/>
      </c>
      <c r="K389" s="43" t="str">
        <f aca="false">IFERROR(IF($L389="","",TEXT(IF($L389&lt;1,HOUR($L389),INT($L389)),"00")&amp;":00"),"")</f>
        <v/>
      </c>
      <c r="L389" s="44"/>
      <c r="M389" s="45"/>
      <c r="N389" s="46"/>
      <c r="O389" s="45"/>
      <c r="P389" s="2"/>
      <c r="Q389" s="2"/>
      <c r="R389" s="2"/>
      <c r="S389" s="2"/>
      <c r="T389" s="2"/>
      <c r="U389" s="47" t="str">
        <f aca="false">IF($G389="","",IF($G389&lt;0,IF(N($U388)=0,1,$U388+1),0))</f>
        <v/>
      </c>
      <c r="V389" s="47" t="str">
        <f aca="false">IF($G389="","",IF($V388="",'Empieza aquí'!$D$8,$V388)+$G389)</f>
        <v/>
      </c>
      <c r="W389" s="47" t="str">
        <f aca="false">IF($V389="","",MAX(IF($W388="",'Empieza aquí'!$D$8,$W388),$V389))</f>
        <v/>
      </c>
      <c r="X389" s="47" t="str">
        <f aca="false">IF($V389="","",$V389-$W389)</f>
        <v/>
      </c>
      <c r="Y389" s="3"/>
      <c r="Z389" s="3"/>
      <c r="AA389" s="3"/>
      <c r="AB389" s="3"/>
      <c r="AC389" s="3"/>
      <c r="AD389" s="3"/>
      <c r="AE389" s="3"/>
      <c r="AF389" s="3"/>
      <c r="AG389" s="3"/>
      <c r="AH389" s="3"/>
    </row>
    <row r="390" customFormat="false" ht="15" hidden="false" customHeight="true" outlineLevel="0" collapsed="false">
      <c r="A390" s="2"/>
      <c r="B390" s="36"/>
      <c r="C390" s="37"/>
      <c r="D390" s="37"/>
      <c r="E390" s="38"/>
      <c r="F390" s="39"/>
      <c r="G390" s="40" t="str">
        <f aca="false">IF(OR($E390="",$C390="",$D390=""),"",$E390*$D390*IFERROR(INDEX(Listas!$C$6:$C$20,MATCH($C390,Listas!$B$6:$B$20,0)),0)-$D390*IFERROR(INDEX(Listas!$D$6:$D$20,MATCH($C390,Listas!$B$6:$B$20,0)),0))</f>
        <v/>
      </c>
      <c r="H390" s="41" t="str">
        <f aca="false">IF(OR($F390="",$C390="",$D390=""),"",ABS($F390)*$D390*IFERROR(INDEX(Listas!$C$6:$C$20,MATCH($C390,Listas!$B$6:$B$20,0)),0))</f>
        <v/>
      </c>
      <c r="I390" s="42" t="str">
        <f aca="false">IF(OR($E390="",$F390="",$F390=0),"",$E390/ABS($F390))</f>
        <v/>
      </c>
      <c r="J390" s="43" t="str">
        <f aca="false">IF($B390="","",INDEX(Listas!$G$6:$G$12,WEEKDAY($B390,1)))</f>
        <v/>
      </c>
      <c r="K390" s="43" t="str">
        <f aca="false">IFERROR(IF($L390="","",TEXT(IF($L390&lt;1,HOUR($L390),INT($L390)),"00")&amp;":00"),"")</f>
        <v/>
      </c>
      <c r="L390" s="44"/>
      <c r="M390" s="45"/>
      <c r="N390" s="46"/>
      <c r="O390" s="45"/>
      <c r="P390" s="2"/>
      <c r="Q390" s="2"/>
      <c r="R390" s="2"/>
      <c r="S390" s="2"/>
      <c r="T390" s="2"/>
      <c r="U390" s="47" t="str">
        <f aca="false">IF($G390="","",IF($G390&lt;0,IF(N($U389)=0,1,$U389+1),0))</f>
        <v/>
      </c>
      <c r="V390" s="47" t="str">
        <f aca="false">IF($G390="","",IF($V389="",'Empieza aquí'!$D$8,$V389)+$G390)</f>
        <v/>
      </c>
      <c r="W390" s="47" t="str">
        <f aca="false">IF($V390="","",MAX(IF($W389="",'Empieza aquí'!$D$8,$W389),$V390))</f>
        <v/>
      </c>
      <c r="X390" s="47" t="str">
        <f aca="false">IF($V390="","",$V390-$W390)</f>
        <v/>
      </c>
      <c r="Y390" s="3"/>
      <c r="Z390" s="3"/>
      <c r="AA390" s="3"/>
      <c r="AB390" s="3"/>
      <c r="AC390" s="3"/>
      <c r="AD390" s="3"/>
      <c r="AE390" s="3"/>
      <c r="AF390" s="3"/>
      <c r="AG390" s="3"/>
      <c r="AH390" s="3"/>
    </row>
    <row r="391" customFormat="false" ht="15" hidden="false" customHeight="true" outlineLevel="0" collapsed="false">
      <c r="A391" s="2"/>
      <c r="B391" s="36"/>
      <c r="C391" s="37"/>
      <c r="D391" s="37"/>
      <c r="E391" s="38"/>
      <c r="F391" s="39"/>
      <c r="G391" s="40" t="str">
        <f aca="false">IF(OR($E391="",$C391="",$D391=""),"",$E391*$D391*IFERROR(INDEX(Listas!$C$6:$C$20,MATCH($C391,Listas!$B$6:$B$20,0)),0)-$D391*IFERROR(INDEX(Listas!$D$6:$D$20,MATCH($C391,Listas!$B$6:$B$20,0)),0))</f>
        <v/>
      </c>
      <c r="H391" s="41" t="str">
        <f aca="false">IF(OR($F391="",$C391="",$D391=""),"",ABS($F391)*$D391*IFERROR(INDEX(Listas!$C$6:$C$20,MATCH($C391,Listas!$B$6:$B$20,0)),0))</f>
        <v/>
      </c>
      <c r="I391" s="42" t="str">
        <f aca="false">IF(OR($E391="",$F391="",$F391=0),"",$E391/ABS($F391))</f>
        <v/>
      </c>
      <c r="J391" s="43" t="str">
        <f aca="false">IF($B391="","",INDEX(Listas!$G$6:$G$12,WEEKDAY($B391,1)))</f>
        <v/>
      </c>
      <c r="K391" s="43" t="str">
        <f aca="false">IFERROR(IF($L391="","",TEXT(IF($L391&lt;1,HOUR($L391),INT($L391)),"00")&amp;":00"),"")</f>
        <v/>
      </c>
      <c r="L391" s="44"/>
      <c r="M391" s="45"/>
      <c r="N391" s="46"/>
      <c r="O391" s="45"/>
      <c r="P391" s="2"/>
      <c r="Q391" s="2"/>
      <c r="R391" s="2"/>
      <c r="S391" s="2"/>
      <c r="T391" s="2"/>
      <c r="U391" s="47" t="str">
        <f aca="false">IF($G391="","",IF($G391&lt;0,IF(N($U390)=0,1,$U390+1),0))</f>
        <v/>
      </c>
      <c r="V391" s="47" t="str">
        <f aca="false">IF($G391="","",IF($V390="",'Empieza aquí'!$D$8,$V390)+$G391)</f>
        <v/>
      </c>
      <c r="W391" s="47" t="str">
        <f aca="false">IF($V391="","",MAX(IF($W390="",'Empieza aquí'!$D$8,$W390),$V391))</f>
        <v/>
      </c>
      <c r="X391" s="47" t="str">
        <f aca="false">IF($V391="","",$V391-$W391)</f>
        <v/>
      </c>
      <c r="Y391" s="3"/>
      <c r="Z391" s="3"/>
      <c r="AA391" s="3"/>
      <c r="AB391" s="3"/>
      <c r="AC391" s="3"/>
      <c r="AD391" s="3"/>
      <c r="AE391" s="3"/>
      <c r="AF391" s="3"/>
      <c r="AG391" s="3"/>
      <c r="AH391" s="3"/>
    </row>
    <row r="392" customFormat="false" ht="15" hidden="false" customHeight="true" outlineLevel="0" collapsed="false">
      <c r="A392" s="2"/>
      <c r="B392" s="36"/>
      <c r="C392" s="37"/>
      <c r="D392" s="37"/>
      <c r="E392" s="38"/>
      <c r="F392" s="39"/>
      <c r="G392" s="40" t="str">
        <f aca="false">IF(OR($E392="",$C392="",$D392=""),"",$E392*$D392*IFERROR(INDEX(Listas!$C$6:$C$20,MATCH($C392,Listas!$B$6:$B$20,0)),0)-$D392*IFERROR(INDEX(Listas!$D$6:$D$20,MATCH($C392,Listas!$B$6:$B$20,0)),0))</f>
        <v/>
      </c>
      <c r="H392" s="41" t="str">
        <f aca="false">IF(OR($F392="",$C392="",$D392=""),"",ABS($F392)*$D392*IFERROR(INDEX(Listas!$C$6:$C$20,MATCH($C392,Listas!$B$6:$B$20,0)),0))</f>
        <v/>
      </c>
      <c r="I392" s="42" t="str">
        <f aca="false">IF(OR($E392="",$F392="",$F392=0),"",$E392/ABS($F392))</f>
        <v/>
      </c>
      <c r="J392" s="43" t="str">
        <f aca="false">IF($B392="","",INDEX(Listas!$G$6:$G$12,WEEKDAY($B392,1)))</f>
        <v/>
      </c>
      <c r="K392" s="43" t="str">
        <f aca="false">IFERROR(IF($L392="","",TEXT(IF($L392&lt;1,HOUR($L392),INT($L392)),"00")&amp;":00"),"")</f>
        <v/>
      </c>
      <c r="L392" s="44"/>
      <c r="M392" s="45"/>
      <c r="N392" s="46"/>
      <c r="O392" s="45"/>
      <c r="P392" s="2"/>
      <c r="Q392" s="2"/>
      <c r="R392" s="2"/>
      <c r="S392" s="2"/>
      <c r="T392" s="2"/>
      <c r="U392" s="47" t="str">
        <f aca="false">IF($G392="","",IF($G392&lt;0,IF(N($U391)=0,1,$U391+1),0))</f>
        <v/>
      </c>
      <c r="V392" s="47" t="str">
        <f aca="false">IF($G392="","",IF($V391="",'Empieza aquí'!$D$8,$V391)+$G392)</f>
        <v/>
      </c>
      <c r="W392" s="47" t="str">
        <f aca="false">IF($V392="","",MAX(IF($W391="",'Empieza aquí'!$D$8,$W391),$V392))</f>
        <v/>
      </c>
      <c r="X392" s="47" t="str">
        <f aca="false">IF($V392="","",$V392-$W392)</f>
        <v/>
      </c>
      <c r="Y392" s="3"/>
      <c r="Z392" s="3"/>
      <c r="AA392" s="3"/>
      <c r="AB392" s="3"/>
      <c r="AC392" s="3"/>
      <c r="AD392" s="3"/>
      <c r="AE392" s="3"/>
      <c r="AF392" s="3"/>
      <c r="AG392" s="3"/>
      <c r="AH392" s="3"/>
    </row>
    <row r="393" customFormat="false" ht="15" hidden="false" customHeight="true" outlineLevel="0" collapsed="false">
      <c r="A393" s="2"/>
      <c r="B393" s="36"/>
      <c r="C393" s="37"/>
      <c r="D393" s="37"/>
      <c r="E393" s="38"/>
      <c r="F393" s="39"/>
      <c r="G393" s="40" t="str">
        <f aca="false">IF(OR($E393="",$C393="",$D393=""),"",$E393*$D393*IFERROR(INDEX(Listas!$C$6:$C$20,MATCH($C393,Listas!$B$6:$B$20,0)),0)-$D393*IFERROR(INDEX(Listas!$D$6:$D$20,MATCH($C393,Listas!$B$6:$B$20,0)),0))</f>
        <v/>
      </c>
      <c r="H393" s="41" t="str">
        <f aca="false">IF(OR($F393="",$C393="",$D393=""),"",ABS($F393)*$D393*IFERROR(INDEX(Listas!$C$6:$C$20,MATCH($C393,Listas!$B$6:$B$20,0)),0))</f>
        <v/>
      </c>
      <c r="I393" s="42" t="str">
        <f aca="false">IF(OR($E393="",$F393="",$F393=0),"",$E393/ABS($F393))</f>
        <v/>
      </c>
      <c r="J393" s="43" t="str">
        <f aca="false">IF($B393="","",INDEX(Listas!$G$6:$G$12,WEEKDAY($B393,1)))</f>
        <v/>
      </c>
      <c r="K393" s="43" t="str">
        <f aca="false">IFERROR(IF($L393="","",TEXT(IF($L393&lt;1,HOUR($L393),INT($L393)),"00")&amp;":00"),"")</f>
        <v/>
      </c>
      <c r="L393" s="44"/>
      <c r="M393" s="45"/>
      <c r="N393" s="46"/>
      <c r="O393" s="45"/>
      <c r="P393" s="2"/>
      <c r="Q393" s="2"/>
      <c r="R393" s="2"/>
      <c r="S393" s="2"/>
      <c r="T393" s="2"/>
      <c r="U393" s="47" t="str">
        <f aca="false">IF($G393="","",IF($G393&lt;0,IF(N($U392)=0,1,$U392+1),0))</f>
        <v/>
      </c>
      <c r="V393" s="47" t="str">
        <f aca="false">IF($G393="","",IF($V392="",'Empieza aquí'!$D$8,$V392)+$G393)</f>
        <v/>
      </c>
      <c r="W393" s="47" t="str">
        <f aca="false">IF($V393="","",MAX(IF($W392="",'Empieza aquí'!$D$8,$W392),$V393))</f>
        <v/>
      </c>
      <c r="X393" s="47" t="str">
        <f aca="false">IF($V393="","",$V393-$W393)</f>
        <v/>
      </c>
      <c r="Y393" s="3"/>
      <c r="Z393" s="3"/>
      <c r="AA393" s="3"/>
      <c r="AB393" s="3"/>
      <c r="AC393" s="3"/>
      <c r="AD393" s="3"/>
      <c r="AE393" s="3"/>
      <c r="AF393" s="3"/>
      <c r="AG393" s="3"/>
      <c r="AH393" s="3"/>
    </row>
    <row r="394" customFormat="false" ht="15" hidden="false" customHeight="true" outlineLevel="0" collapsed="false">
      <c r="A394" s="2"/>
      <c r="B394" s="36"/>
      <c r="C394" s="37"/>
      <c r="D394" s="37"/>
      <c r="E394" s="38"/>
      <c r="F394" s="39"/>
      <c r="G394" s="40" t="str">
        <f aca="false">IF(OR($E394="",$C394="",$D394=""),"",$E394*$D394*IFERROR(INDEX(Listas!$C$6:$C$20,MATCH($C394,Listas!$B$6:$B$20,0)),0)-$D394*IFERROR(INDEX(Listas!$D$6:$D$20,MATCH($C394,Listas!$B$6:$B$20,0)),0))</f>
        <v/>
      </c>
      <c r="H394" s="41" t="str">
        <f aca="false">IF(OR($F394="",$C394="",$D394=""),"",ABS($F394)*$D394*IFERROR(INDEX(Listas!$C$6:$C$20,MATCH($C394,Listas!$B$6:$B$20,0)),0))</f>
        <v/>
      </c>
      <c r="I394" s="42" t="str">
        <f aca="false">IF(OR($E394="",$F394="",$F394=0),"",$E394/ABS($F394))</f>
        <v/>
      </c>
      <c r="J394" s="43" t="str">
        <f aca="false">IF($B394="","",INDEX(Listas!$G$6:$G$12,WEEKDAY($B394,1)))</f>
        <v/>
      </c>
      <c r="K394" s="43" t="str">
        <f aca="false">IFERROR(IF($L394="","",TEXT(IF($L394&lt;1,HOUR($L394),INT($L394)),"00")&amp;":00"),"")</f>
        <v/>
      </c>
      <c r="L394" s="44"/>
      <c r="M394" s="45"/>
      <c r="N394" s="46"/>
      <c r="O394" s="45"/>
      <c r="P394" s="2"/>
      <c r="Q394" s="2"/>
      <c r="R394" s="2"/>
      <c r="S394" s="2"/>
      <c r="T394" s="2"/>
      <c r="U394" s="47" t="str">
        <f aca="false">IF($G394="","",IF($G394&lt;0,IF(N($U393)=0,1,$U393+1),0))</f>
        <v/>
      </c>
      <c r="V394" s="47" t="str">
        <f aca="false">IF($G394="","",IF($V393="",'Empieza aquí'!$D$8,$V393)+$G394)</f>
        <v/>
      </c>
      <c r="W394" s="47" t="str">
        <f aca="false">IF($V394="","",MAX(IF($W393="",'Empieza aquí'!$D$8,$W393),$V394))</f>
        <v/>
      </c>
      <c r="X394" s="47" t="str">
        <f aca="false">IF($V394="","",$V394-$W394)</f>
        <v/>
      </c>
      <c r="Y394" s="3"/>
      <c r="Z394" s="3"/>
      <c r="AA394" s="3"/>
      <c r="AB394" s="3"/>
      <c r="AC394" s="3"/>
      <c r="AD394" s="3"/>
      <c r="AE394" s="3"/>
      <c r="AF394" s="3"/>
      <c r="AG394" s="3"/>
      <c r="AH394" s="3"/>
    </row>
    <row r="395" customFormat="false" ht="15" hidden="false" customHeight="true" outlineLevel="0" collapsed="false">
      <c r="A395" s="2"/>
      <c r="B395" s="36"/>
      <c r="C395" s="37"/>
      <c r="D395" s="37"/>
      <c r="E395" s="38"/>
      <c r="F395" s="39"/>
      <c r="G395" s="40" t="str">
        <f aca="false">IF(OR($E395="",$C395="",$D395=""),"",$E395*$D395*IFERROR(INDEX(Listas!$C$6:$C$20,MATCH($C395,Listas!$B$6:$B$20,0)),0)-$D395*IFERROR(INDEX(Listas!$D$6:$D$20,MATCH($C395,Listas!$B$6:$B$20,0)),0))</f>
        <v/>
      </c>
      <c r="H395" s="41" t="str">
        <f aca="false">IF(OR($F395="",$C395="",$D395=""),"",ABS($F395)*$D395*IFERROR(INDEX(Listas!$C$6:$C$20,MATCH($C395,Listas!$B$6:$B$20,0)),0))</f>
        <v/>
      </c>
      <c r="I395" s="42" t="str">
        <f aca="false">IF(OR($E395="",$F395="",$F395=0),"",$E395/ABS($F395))</f>
        <v/>
      </c>
      <c r="J395" s="43" t="str">
        <f aca="false">IF($B395="","",INDEX(Listas!$G$6:$G$12,WEEKDAY($B395,1)))</f>
        <v/>
      </c>
      <c r="K395" s="43" t="str">
        <f aca="false">IFERROR(IF($L395="","",TEXT(IF($L395&lt;1,HOUR($L395),INT($L395)),"00")&amp;":00"),"")</f>
        <v/>
      </c>
      <c r="L395" s="44"/>
      <c r="M395" s="45"/>
      <c r="N395" s="46"/>
      <c r="O395" s="45"/>
      <c r="P395" s="2"/>
      <c r="Q395" s="2"/>
      <c r="R395" s="2"/>
      <c r="S395" s="2"/>
      <c r="T395" s="2"/>
      <c r="U395" s="47" t="str">
        <f aca="false">IF($G395="","",IF($G395&lt;0,IF(N($U394)=0,1,$U394+1),0))</f>
        <v/>
      </c>
      <c r="V395" s="47" t="str">
        <f aca="false">IF($G395="","",IF($V394="",'Empieza aquí'!$D$8,$V394)+$G395)</f>
        <v/>
      </c>
      <c r="W395" s="47" t="str">
        <f aca="false">IF($V395="","",MAX(IF($W394="",'Empieza aquí'!$D$8,$W394),$V395))</f>
        <v/>
      </c>
      <c r="X395" s="47" t="str">
        <f aca="false">IF($V395="","",$V395-$W395)</f>
        <v/>
      </c>
      <c r="Y395" s="3"/>
      <c r="Z395" s="3"/>
      <c r="AA395" s="3"/>
      <c r="AB395" s="3"/>
      <c r="AC395" s="3"/>
      <c r="AD395" s="3"/>
      <c r="AE395" s="3"/>
      <c r="AF395" s="3"/>
      <c r="AG395" s="3"/>
      <c r="AH395" s="3"/>
    </row>
    <row r="396" customFormat="false" ht="15" hidden="false" customHeight="true" outlineLevel="0" collapsed="false">
      <c r="A396" s="2"/>
      <c r="B396" s="36"/>
      <c r="C396" s="37"/>
      <c r="D396" s="37"/>
      <c r="E396" s="38"/>
      <c r="F396" s="39"/>
      <c r="G396" s="40" t="str">
        <f aca="false">IF(OR($E396="",$C396="",$D396=""),"",$E396*$D396*IFERROR(INDEX(Listas!$C$6:$C$20,MATCH($C396,Listas!$B$6:$B$20,0)),0)-$D396*IFERROR(INDEX(Listas!$D$6:$D$20,MATCH($C396,Listas!$B$6:$B$20,0)),0))</f>
        <v/>
      </c>
      <c r="H396" s="41" t="str">
        <f aca="false">IF(OR($F396="",$C396="",$D396=""),"",ABS($F396)*$D396*IFERROR(INDEX(Listas!$C$6:$C$20,MATCH($C396,Listas!$B$6:$B$20,0)),0))</f>
        <v/>
      </c>
      <c r="I396" s="42" t="str">
        <f aca="false">IF(OR($E396="",$F396="",$F396=0),"",$E396/ABS($F396))</f>
        <v/>
      </c>
      <c r="J396" s="43" t="str">
        <f aca="false">IF($B396="","",INDEX(Listas!$G$6:$G$12,WEEKDAY($B396,1)))</f>
        <v/>
      </c>
      <c r="K396" s="43" t="str">
        <f aca="false">IFERROR(IF($L396="","",TEXT(IF($L396&lt;1,HOUR($L396),INT($L396)),"00")&amp;":00"),"")</f>
        <v/>
      </c>
      <c r="L396" s="44"/>
      <c r="M396" s="45"/>
      <c r="N396" s="46"/>
      <c r="O396" s="45"/>
      <c r="P396" s="2"/>
      <c r="Q396" s="2"/>
      <c r="R396" s="2"/>
      <c r="S396" s="2"/>
      <c r="T396" s="2"/>
      <c r="U396" s="47" t="str">
        <f aca="false">IF($G396="","",IF($G396&lt;0,IF(N($U395)=0,1,$U395+1),0))</f>
        <v/>
      </c>
      <c r="V396" s="47" t="str">
        <f aca="false">IF($G396="","",IF($V395="",'Empieza aquí'!$D$8,$V395)+$G396)</f>
        <v/>
      </c>
      <c r="W396" s="47" t="str">
        <f aca="false">IF($V396="","",MAX(IF($W395="",'Empieza aquí'!$D$8,$W395),$V396))</f>
        <v/>
      </c>
      <c r="X396" s="47" t="str">
        <f aca="false">IF($V396="","",$V396-$W396)</f>
        <v/>
      </c>
      <c r="Y396" s="3"/>
      <c r="Z396" s="3"/>
      <c r="AA396" s="3"/>
      <c r="AB396" s="3"/>
      <c r="AC396" s="3"/>
      <c r="AD396" s="3"/>
      <c r="AE396" s="3"/>
      <c r="AF396" s="3"/>
      <c r="AG396" s="3"/>
      <c r="AH396" s="3"/>
    </row>
    <row r="397" customFormat="false" ht="15" hidden="false" customHeight="true" outlineLevel="0" collapsed="false">
      <c r="A397" s="2"/>
      <c r="B397" s="36"/>
      <c r="C397" s="37"/>
      <c r="D397" s="37"/>
      <c r="E397" s="38"/>
      <c r="F397" s="39"/>
      <c r="G397" s="40" t="str">
        <f aca="false">IF(OR($E397="",$C397="",$D397=""),"",$E397*$D397*IFERROR(INDEX(Listas!$C$6:$C$20,MATCH($C397,Listas!$B$6:$B$20,0)),0)-$D397*IFERROR(INDEX(Listas!$D$6:$D$20,MATCH($C397,Listas!$B$6:$B$20,0)),0))</f>
        <v/>
      </c>
      <c r="H397" s="41" t="str">
        <f aca="false">IF(OR($F397="",$C397="",$D397=""),"",ABS($F397)*$D397*IFERROR(INDEX(Listas!$C$6:$C$20,MATCH($C397,Listas!$B$6:$B$20,0)),0))</f>
        <v/>
      </c>
      <c r="I397" s="42" t="str">
        <f aca="false">IF(OR($E397="",$F397="",$F397=0),"",$E397/ABS($F397))</f>
        <v/>
      </c>
      <c r="J397" s="43" t="str">
        <f aca="false">IF($B397="","",INDEX(Listas!$G$6:$G$12,WEEKDAY($B397,1)))</f>
        <v/>
      </c>
      <c r="K397" s="43" t="str">
        <f aca="false">IFERROR(IF($L397="","",TEXT(IF($L397&lt;1,HOUR($L397),INT($L397)),"00")&amp;":00"),"")</f>
        <v/>
      </c>
      <c r="L397" s="44"/>
      <c r="M397" s="45"/>
      <c r="N397" s="46"/>
      <c r="O397" s="45"/>
      <c r="P397" s="2"/>
      <c r="Q397" s="2"/>
      <c r="R397" s="2"/>
      <c r="S397" s="2"/>
      <c r="T397" s="2"/>
      <c r="U397" s="47" t="str">
        <f aca="false">IF($G397="","",IF($G397&lt;0,IF(N($U396)=0,1,$U396+1),0))</f>
        <v/>
      </c>
      <c r="V397" s="47" t="str">
        <f aca="false">IF($G397="","",IF($V396="",'Empieza aquí'!$D$8,$V396)+$G397)</f>
        <v/>
      </c>
      <c r="W397" s="47" t="str">
        <f aca="false">IF($V397="","",MAX(IF($W396="",'Empieza aquí'!$D$8,$W396),$V397))</f>
        <v/>
      </c>
      <c r="X397" s="47" t="str">
        <f aca="false">IF($V397="","",$V397-$W397)</f>
        <v/>
      </c>
      <c r="Y397" s="3"/>
      <c r="Z397" s="3"/>
      <c r="AA397" s="3"/>
      <c r="AB397" s="3"/>
      <c r="AC397" s="3"/>
      <c r="AD397" s="3"/>
      <c r="AE397" s="3"/>
      <c r="AF397" s="3"/>
      <c r="AG397" s="3"/>
      <c r="AH397" s="3"/>
    </row>
    <row r="398" customFormat="false" ht="15" hidden="false" customHeight="true" outlineLevel="0" collapsed="false">
      <c r="A398" s="2"/>
      <c r="B398" s="36"/>
      <c r="C398" s="37"/>
      <c r="D398" s="37"/>
      <c r="E398" s="38"/>
      <c r="F398" s="39"/>
      <c r="G398" s="40" t="str">
        <f aca="false">IF(OR($E398="",$C398="",$D398=""),"",$E398*$D398*IFERROR(INDEX(Listas!$C$6:$C$20,MATCH($C398,Listas!$B$6:$B$20,0)),0)-$D398*IFERROR(INDEX(Listas!$D$6:$D$20,MATCH($C398,Listas!$B$6:$B$20,0)),0))</f>
        <v/>
      </c>
      <c r="H398" s="41" t="str">
        <f aca="false">IF(OR($F398="",$C398="",$D398=""),"",ABS($F398)*$D398*IFERROR(INDEX(Listas!$C$6:$C$20,MATCH($C398,Listas!$B$6:$B$20,0)),0))</f>
        <v/>
      </c>
      <c r="I398" s="42" t="str">
        <f aca="false">IF(OR($E398="",$F398="",$F398=0),"",$E398/ABS($F398))</f>
        <v/>
      </c>
      <c r="J398" s="43" t="str">
        <f aca="false">IF($B398="","",INDEX(Listas!$G$6:$G$12,WEEKDAY($B398,1)))</f>
        <v/>
      </c>
      <c r="K398" s="43" t="str">
        <f aca="false">IFERROR(IF($L398="","",TEXT(IF($L398&lt;1,HOUR($L398),INT($L398)),"00")&amp;":00"),"")</f>
        <v/>
      </c>
      <c r="L398" s="44"/>
      <c r="M398" s="45"/>
      <c r="N398" s="46"/>
      <c r="O398" s="45"/>
      <c r="P398" s="2"/>
      <c r="Q398" s="2"/>
      <c r="R398" s="2"/>
      <c r="S398" s="2"/>
      <c r="T398" s="2"/>
      <c r="U398" s="47" t="str">
        <f aca="false">IF($G398="","",IF($G398&lt;0,IF(N($U397)=0,1,$U397+1),0))</f>
        <v/>
      </c>
      <c r="V398" s="47" t="str">
        <f aca="false">IF($G398="","",IF($V397="",'Empieza aquí'!$D$8,$V397)+$G398)</f>
        <v/>
      </c>
      <c r="W398" s="47" t="str">
        <f aca="false">IF($V398="","",MAX(IF($W397="",'Empieza aquí'!$D$8,$W397),$V398))</f>
        <v/>
      </c>
      <c r="X398" s="47" t="str">
        <f aca="false">IF($V398="","",$V398-$W398)</f>
        <v/>
      </c>
      <c r="Y398" s="3"/>
      <c r="Z398" s="3"/>
      <c r="AA398" s="3"/>
      <c r="AB398" s="3"/>
      <c r="AC398" s="3"/>
      <c r="AD398" s="3"/>
      <c r="AE398" s="3"/>
      <c r="AF398" s="3"/>
      <c r="AG398" s="3"/>
      <c r="AH398" s="3"/>
    </row>
    <row r="399" customFormat="false" ht="15" hidden="false" customHeight="true" outlineLevel="0" collapsed="false">
      <c r="A399" s="2"/>
      <c r="B399" s="36"/>
      <c r="C399" s="37"/>
      <c r="D399" s="37"/>
      <c r="E399" s="38"/>
      <c r="F399" s="39"/>
      <c r="G399" s="40" t="str">
        <f aca="false">IF(OR($E399="",$C399="",$D399=""),"",$E399*$D399*IFERROR(INDEX(Listas!$C$6:$C$20,MATCH($C399,Listas!$B$6:$B$20,0)),0)-$D399*IFERROR(INDEX(Listas!$D$6:$D$20,MATCH($C399,Listas!$B$6:$B$20,0)),0))</f>
        <v/>
      </c>
      <c r="H399" s="41" t="str">
        <f aca="false">IF(OR($F399="",$C399="",$D399=""),"",ABS($F399)*$D399*IFERROR(INDEX(Listas!$C$6:$C$20,MATCH($C399,Listas!$B$6:$B$20,0)),0))</f>
        <v/>
      </c>
      <c r="I399" s="42" t="str">
        <f aca="false">IF(OR($E399="",$F399="",$F399=0),"",$E399/ABS($F399))</f>
        <v/>
      </c>
      <c r="J399" s="43" t="str">
        <f aca="false">IF($B399="","",INDEX(Listas!$G$6:$G$12,WEEKDAY($B399,1)))</f>
        <v/>
      </c>
      <c r="K399" s="43" t="str">
        <f aca="false">IFERROR(IF($L399="","",TEXT(IF($L399&lt;1,HOUR($L399),INT($L399)),"00")&amp;":00"),"")</f>
        <v/>
      </c>
      <c r="L399" s="44"/>
      <c r="M399" s="45"/>
      <c r="N399" s="46"/>
      <c r="O399" s="45"/>
      <c r="P399" s="2"/>
      <c r="Q399" s="2"/>
      <c r="R399" s="2"/>
      <c r="S399" s="2"/>
      <c r="T399" s="2"/>
      <c r="U399" s="47" t="str">
        <f aca="false">IF($G399="","",IF($G399&lt;0,IF(N($U398)=0,1,$U398+1),0))</f>
        <v/>
      </c>
      <c r="V399" s="47" t="str">
        <f aca="false">IF($G399="","",IF($V398="",'Empieza aquí'!$D$8,$V398)+$G399)</f>
        <v/>
      </c>
      <c r="W399" s="47" t="str">
        <f aca="false">IF($V399="","",MAX(IF($W398="",'Empieza aquí'!$D$8,$W398),$V399))</f>
        <v/>
      </c>
      <c r="X399" s="47" t="str">
        <f aca="false">IF($V399="","",$V399-$W399)</f>
        <v/>
      </c>
      <c r="Y399" s="3"/>
      <c r="Z399" s="3"/>
      <c r="AA399" s="3"/>
      <c r="AB399" s="3"/>
      <c r="AC399" s="3"/>
      <c r="AD399" s="3"/>
      <c r="AE399" s="3"/>
      <c r="AF399" s="3"/>
      <c r="AG399" s="3"/>
      <c r="AH399" s="3"/>
    </row>
    <row r="400" customFormat="false" ht="15" hidden="false" customHeight="true" outlineLevel="0" collapsed="false">
      <c r="A400" s="2"/>
      <c r="B400" s="36"/>
      <c r="C400" s="37"/>
      <c r="D400" s="37"/>
      <c r="E400" s="38"/>
      <c r="F400" s="39"/>
      <c r="G400" s="40" t="str">
        <f aca="false">IF(OR($E400="",$C400="",$D400=""),"",$E400*$D400*IFERROR(INDEX(Listas!$C$6:$C$20,MATCH($C400,Listas!$B$6:$B$20,0)),0)-$D400*IFERROR(INDEX(Listas!$D$6:$D$20,MATCH($C400,Listas!$B$6:$B$20,0)),0))</f>
        <v/>
      </c>
      <c r="H400" s="41" t="str">
        <f aca="false">IF(OR($F400="",$C400="",$D400=""),"",ABS($F400)*$D400*IFERROR(INDEX(Listas!$C$6:$C$20,MATCH($C400,Listas!$B$6:$B$20,0)),0))</f>
        <v/>
      </c>
      <c r="I400" s="42" t="str">
        <f aca="false">IF(OR($E400="",$F400="",$F400=0),"",$E400/ABS($F400))</f>
        <v/>
      </c>
      <c r="J400" s="43" t="str">
        <f aca="false">IF($B400="","",INDEX(Listas!$G$6:$G$12,WEEKDAY($B400,1)))</f>
        <v/>
      </c>
      <c r="K400" s="43" t="str">
        <f aca="false">IFERROR(IF($L400="","",TEXT(IF($L400&lt;1,HOUR($L400),INT($L400)),"00")&amp;":00"),"")</f>
        <v/>
      </c>
      <c r="L400" s="44"/>
      <c r="M400" s="45"/>
      <c r="N400" s="46"/>
      <c r="O400" s="45"/>
      <c r="P400" s="2"/>
      <c r="Q400" s="2"/>
      <c r="R400" s="2"/>
      <c r="S400" s="2"/>
      <c r="T400" s="2"/>
      <c r="U400" s="47" t="str">
        <f aca="false">IF($G400="","",IF($G400&lt;0,IF(N($U399)=0,1,$U399+1),0))</f>
        <v/>
      </c>
      <c r="V400" s="47" t="str">
        <f aca="false">IF($G400="","",IF($V399="",'Empieza aquí'!$D$8,$V399)+$G400)</f>
        <v/>
      </c>
      <c r="W400" s="47" t="str">
        <f aca="false">IF($V400="","",MAX(IF($W399="",'Empieza aquí'!$D$8,$W399),$V400))</f>
        <v/>
      </c>
      <c r="X400" s="47" t="str">
        <f aca="false">IF($V400="","",$V400-$W400)</f>
        <v/>
      </c>
      <c r="Y400" s="3"/>
      <c r="Z400" s="3"/>
      <c r="AA400" s="3"/>
      <c r="AB400" s="3"/>
      <c r="AC400" s="3"/>
      <c r="AD400" s="3"/>
      <c r="AE400" s="3"/>
      <c r="AF400" s="3"/>
      <c r="AG400" s="3"/>
      <c r="AH400" s="3"/>
    </row>
    <row r="401" customFormat="false" ht="15" hidden="false" customHeight="true" outlineLevel="0" collapsed="false">
      <c r="A401" s="2"/>
      <c r="B401" s="36"/>
      <c r="C401" s="37"/>
      <c r="D401" s="37"/>
      <c r="E401" s="38"/>
      <c r="F401" s="39"/>
      <c r="G401" s="40" t="str">
        <f aca="false">IF(OR($E401="",$C401="",$D401=""),"",$E401*$D401*IFERROR(INDEX(Listas!$C$6:$C$20,MATCH($C401,Listas!$B$6:$B$20,0)),0)-$D401*IFERROR(INDEX(Listas!$D$6:$D$20,MATCH($C401,Listas!$B$6:$B$20,0)),0))</f>
        <v/>
      </c>
      <c r="H401" s="41" t="str">
        <f aca="false">IF(OR($F401="",$C401="",$D401=""),"",ABS($F401)*$D401*IFERROR(INDEX(Listas!$C$6:$C$20,MATCH($C401,Listas!$B$6:$B$20,0)),0))</f>
        <v/>
      </c>
      <c r="I401" s="42" t="str">
        <f aca="false">IF(OR($E401="",$F401="",$F401=0),"",$E401/ABS($F401))</f>
        <v/>
      </c>
      <c r="J401" s="43" t="str">
        <f aca="false">IF($B401="","",INDEX(Listas!$G$6:$G$12,WEEKDAY($B401,1)))</f>
        <v/>
      </c>
      <c r="K401" s="43" t="str">
        <f aca="false">IFERROR(IF($L401="","",TEXT(IF($L401&lt;1,HOUR($L401),INT($L401)),"00")&amp;":00"),"")</f>
        <v/>
      </c>
      <c r="L401" s="44"/>
      <c r="M401" s="45"/>
      <c r="N401" s="46"/>
      <c r="O401" s="45"/>
      <c r="P401" s="2"/>
      <c r="Q401" s="2"/>
      <c r="R401" s="2"/>
      <c r="S401" s="2"/>
      <c r="T401" s="2"/>
      <c r="U401" s="47" t="str">
        <f aca="false">IF($G401="","",IF($G401&lt;0,IF(N($U400)=0,1,$U400+1),0))</f>
        <v/>
      </c>
      <c r="V401" s="47" t="str">
        <f aca="false">IF($G401="","",IF($V400="",'Empieza aquí'!$D$8,$V400)+$G401)</f>
        <v/>
      </c>
      <c r="W401" s="47" t="str">
        <f aca="false">IF($V401="","",MAX(IF($W400="",'Empieza aquí'!$D$8,$W400),$V401))</f>
        <v/>
      </c>
      <c r="X401" s="47" t="str">
        <f aca="false">IF($V401="","",$V401-$W401)</f>
        <v/>
      </c>
      <c r="Y401" s="3"/>
      <c r="Z401" s="3"/>
      <c r="AA401" s="3"/>
      <c r="AB401" s="3"/>
      <c r="AC401" s="3"/>
      <c r="AD401" s="3"/>
      <c r="AE401" s="3"/>
      <c r="AF401" s="3"/>
      <c r="AG401" s="3"/>
      <c r="AH401" s="3"/>
    </row>
    <row r="402" customFormat="false" ht="15" hidden="false" customHeight="true" outlineLevel="0" collapsed="false">
      <c r="A402" s="2"/>
      <c r="B402" s="36"/>
      <c r="C402" s="37"/>
      <c r="D402" s="37"/>
      <c r="E402" s="38"/>
      <c r="F402" s="39"/>
      <c r="G402" s="40" t="str">
        <f aca="false">IF(OR($E402="",$C402="",$D402=""),"",$E402*$D402*IFERROR(INDEX(Listas!$C$6:$C$20,MATCH($C402,Listas!$B$6:$B$20,0)),0)-$D402*IFERROR(INDEX(Listas!$D$6:$D$20,MATCH($C402,Listas!$B$6:$B$20,0)),0))</f>
        <v/>
      </c>
      <c r="H402" s="41" t="str">
        <f aca="false">IF(OR($F402="",$C402="",$D402=""),"",ABS($F402)*$D402*IFERROR(INDEX(Listas!$C$6:$C$20,MATCH($C402,Listas!$B$6:$B$20,0)),0))</f>
        <v/>
      </c>
      <c r="I402" s="42" t="str">
        <f aca="false">IF(OR($E402="",$F402="",$F402=0),"",$E402/ABS($F402))</f>
        <v/>
      </c>
      <c r="J402" s="43" t="str">
        <f aca="false">IF($B402="","",INDEX(Listas!$G$6:$G$12,WEEKDAY($B402,1)))</f>
        <v/>
      </c>
      <c r="K402" s="43" t="str">
        <f aca="false">IFERROR(IF($L402="","",TEXT(IF($L402&lt;1,HOUR($L402),INT($L402)),"00")&amp;":00"),"")</f>
        <v/>
      </c>
      <c r="L402" s="44"/>
      <c r="M402" s="45"/>
      <c r="N402" s="46"/>
      <c r="O402" s="45"/>
      <c r="P402" s="2"/>
      <c r="Q402" s="2"/>
      <c r="R402" s="2"/>
      <c r="S402" s="2"/>
      <c r="T402" s="2"/>
      <c r="U402" s="47" t="str">
        <f aca="false">IF($G402="","",IF($G402&lt;0,IF(N($U401)=0,1,$U401+1),0))</f>
        <v/>
      </c>
      <c r="V402" s="47" t="str">
        <f aca="false">IF($G402="","",IF($V401="",'Empieza aquí'!$D$8,$V401)+$G402)</f>
        <v/>
      </c>
      <c r="W402" s="47" t="str">
        <f aca="false">IF($V402="","",MAX(IF($W401="",'Empieza aquí'!$D$8,$W401),$V402))</f>
        <v/>
      </c>
      <c r="X402" s="47" t="str">
        <f aca="false">IF($V402="","",$V402-$W402)</f>
        <v/>
      </c>
      <c r="Y402" s="3"/>
      <c r="Z402" s="3"/>
      <c r="AA402" s="3"/>
      <c r="AB402" s="3"/>
      <c r="AC402" s="3"/>
      <c r="AD402" s="3"/>
      <c r="AE402" s="3"/>
      <c r="AF402" s="3"/>
      <c r="AG402" s="3"/>
      <c r="AH402" s="3"/>
    </row>
    <row r="403" customFormat="false" ht="15" hidden="false" customHeight="true" outlineLevel="0" collapsed="false">
      <c r="A403" s="2"/>
      <c r="B403" s="36"/>
      <c r="C403" s="37"/>
      <c r="D403" s="37"/>
      <c r="E403" s="38"/>
      <c r="F403" s="39"/>
      <c r="G403" s="40" t="str">
        <f aca="false">IF(OR($E403="",$C403="",$D403=""),"",$E403*$D403*IFERROR(INDEX(Listas!$C$6:$C$20,MATCH($C403,Listas!$B$6:$B$20,0)),0)-$D403*IFERROR(INDEX(Listas!$D$6:$D$20,MATCH($C403,Listas!$B$6:$B$20,0)),0))</f>
        <v/>
      </c>
      <c r="H403" s="41" t="str">
        <f aca="false">IF(OR($F403="",$C403="",$D403=""),"",ABS($F403)*$D403*IFERROR(INDEX(Listas!$C$6:$C$20,MATCH($C403,Listas!$B$6:$B$20,0)),0))</f>
        <v/>
      </c>
      <c r="I403" s="42" t="str">
        <f aca="false">IF(OR($E403="",$F403="",$F403=0),"",$E403/ABS($F403))</f>
        <v/>
      </c>
      <c r="J403" s="43" t="str">
        <f aca="false">IF($B403="","",INDEX(Listas!$G$6:$G$12,WEEKDAY($B403,1)))</f>
        <v/>
      </c>
      <c r="K403" s="43" t="str">
        <f aca="false">IFERROR(IF($L403="","",TEXT(IF($L403&lt;1,HOUR($L403),INT($L403)),"00")&amp;":00"),"")</f>
        <v/>
      </c>
      <c r="L403" s="44"/>
      <c r="M403" s="45"/>
      <c r="N403" s="46"/>
      <c r="O403" s="45"/>
      <c r="P403" s="2"/>
      <c r="Q403" s="2"/>
      <c r="R403" s="2"/>
      <c r="S403" s="2"/>
      <c r="T403" s="2"/>
      <c r="U403" s="47" t="str">
        <f aca="false">IF($G403="","",IF($G403&lt;0,IF(N($U402)=0,1,$U402+1),0))</f>
        <v/>
      </c>
      <c r="V403" s="47" t="str">
        <f aca="false">IF($G403="","",IF($V402="",'Empieza aquí'!$D$8,$V402)+$G403)</f>
        <v/>
      </c>
      <c r="W403" s="47" t="str">
        <f aca="false">IF($V403="","",MAX(IF($W402="",'Empieza aquí'!$D$8,$W402),$V403))</f>
        <v/>
      </c>
      <c r="X403" s="47" t="str">
        <f aca="false">IF($V403="","",$V403-$W403)</f>
        <v/>
      </c>
      <c r="Y403" s="3"/>
      <c r="Z403" s="3"/>
      <c r="AA403" s="3"/>
      <c r="AB403" s="3"/>
      <c r="AC403" s="3"/>
      <c r="AD403" s="3"/>
      <c r="AE403" s="3"/>
      <c r="AF403" s="3"/>
      <c r="AG403" s="3"/>
      <c r="AH403" s="3"/>
    </row>
    <row r="404" customFormat="false" ht="15" hidden="false" customHeight="true" outlineLevel="0" collapsed="false">
      <c r="A404" s="2"/>
      <c r="B404" s="36"/>
      <c r="C404" s="37"/>
      <c r="D404" s="37"/>
      <c r="E404" s="38"/>
      <c r="F404" s="39"/>
      <c r="G404" s="40" t="str">
        <f aca="false">IF(OR($E404="",$C404="",$D404=""),"",$E404*$D404*IFERROR(INDEX(Listas!$C$6:$C$20,MATCH($C404,Listas!$B$6:$B$20,0)),0)-$D404*IFERROR(INDEX(Listas!$D$6:$D$20,MATCH($C404,Listas!$B$6:$B$20,0)),0))</f>
        <v/>
      </c>
      <c r="H404" s="41" t="str">
        <f aca="false">IF(OR($F404="",$C404="",$D404=""),"",ABS($F404)*$D404*IFERROR(INDEX(Listas!$C$6:$C$20,MATCH($C404,Listas!$B$6:$B$20,0)),0))</f>
        <v/>
      </c>
      <c r="I404" s="42" t="str">
        <f aca="false">IF(OR($E404="",$F404="",$F404=0),"",$E404/ABS($F404))</f>
        <v/>
      </c>
      <c r="J404" s="43" t="str">
        <f aca="false">IF($B404="","",INDEX(Listas!$G$6:$G$12,WEEKDAY($B404,1)))</f>
        <v/>
      </c>
      <c r="K404" s="43" t="str">
        <f aca="false">IFERROR(IF($L404="","",TEXT(IF($L404&lt;1,HOUR($L404),INT($L404)),"00")&amp;":00"),"")</f>
        <v/>
      </c>
      <c r="L404" s="44"/>
      <c r="M404" s="45"/>
      <c r="N404" s="46"/>
      <c r="O404" s="45"/>
      <c r="P404" s="2"/>
      <c r="Q404" s="2"/>
      <c r="R404" s="2"/>
      <c r="S404" s="2"/>
      <c r="T404" s="2"/>
      <c r="U404" s="47" t="str">
        <f aca="false">IF($G404="","",IF($G404&lt;0,IF(N($U403)=0,1,$U403+1),0))</f>
        <v/>
      </c>
      <c r="V404" s="47" t="str">
        <f aca="false">IF($G404="","",IF($V403="",'Empieza aquí'!$D$8,$V403)+$G404)</f>
        <v/>
      </c>
      <c r="W404" s="47" t="str">
        <f aca="false">IF($V404="","",MAX(IF($W403="",'Empieza aquí'!$D$8,$W403),$V404))</f>
        <v/>
      </c>
      <c r="X404" s="47" t="str">
        <f aca="false">IF($V404="","",$V404-$W404)</f>
        <v/>
      </c>
      <c r="Y404" s="3"/>
      <c r="Z404" s="3"/>
      <c r="AA404" s="3"/>
      <c r="AB404" s="3"/>
      <c r="AC404" s="3"/>
      <c r="AD404" s="3"/>
      <c r="AE404" s="3"/>
      <c r="AF404" s="3"/>
      <c r="AG404" s="3"/>
      <c r="AH404" s="3"/>
    </row>
    <row r="405" customFormat="false" ht="15" hidden="false" customHeight="true" outlineLevel="0" collapsed="false">
      <c r="A405" s="2"/>
      <c r="B405" s="36"/>
      <c r="C405" s="37"/>
      <c r="D405" s="37"/>
      <c r="E405" s="38"/>
      <c r="F405" s="39"/>
      <c r="G405" s="40" t="str">
        <f aca="false">IF(OR($E405="",$C405="",$D405=""),"",$E405*$D405*IFERROR(INDEX(Listas!$C$6:$C$20,MATCH($C405,Listas!$B$6:$B$20,0)),0)-$D405*IFERROR(INDEX(Listas!$D$6:$D$20,MATCH($C405,Listas!$B$6:$B$20,0)),0))</f>
        <v/>
      </c>
      <c r="H405" s="41" t="str">
        <f aca="false">IF(OR($F405="",$C405="",$D405=""),"",ABS($F405)*$D405*IFERROR(INDEX(Listas!$C$6:$C$20,MATCH($C405,Listas!$B$6:$B$20,0)),0))</f>
        <v/>
      </c>
      <c r="I405" s="42" t="str">
        <f aca="false">IF(OR($E405="",$F405="",$F405=0),"",$E405/ABS($F405))</f>
        <v/>
      </c>
      <c r="J405" s="43" t="str">
        <f aca="false">IF($B405="","",INDEX(Listas!$G$6:$G$12,WEEKDAY($B405,1)))</f>
        <v/>
      </c>
      <c r="K405" s="43" t="str">
        <f aca="false">IFERROR(IF($L405="","",TEXT(IF($L405&lt;1,HOUR($L405),INT($L405)),"00")&amp;":00"),"")</f>
        <v/>
      </c>
      <c r="L405" s="44"/>
      <c r="M405" s="45"/>
      <c r="N405" s="46"/>
      <c r="O405" s="45"/>
      <c r="P405" s="2"/>
      <c r="Q405" s="2"/>
      <c r="R405" s="2"/>
      <c r="S405" s="2"/>
      <c r="T405" s="2"/>
      <c r="U405" s="47" t="str">
        <f aca="false">IF($G405="","",IF($G405&lt;0,IF(N($U404)=0,1,$U404+1),0))</f>
        <v/>
      </c>
      <c r="V405" s="47" t="str">
        <f aca="false">IF($G405="","",IF($V404="",'Empieza aquí'!$D$8,$V404)+$G405)</f>
        <v/>
      </c>
      <c r="W405" s="47" t="str">
        <f aca="false">IF($V405="","",MAX(IF($W404="",'Empieza aquí'!$D$8,$W404),$V405))</f>
        <v/>
      </c>
      <c r="X405" s="47" t="str">
        <f aca="false">IF($V405="","",$V405-$W405)</f>
        <v/>
      </c>
      <c r="Y405" s="3"/>
      <c r="Z405" s="3"/>
      <c r="AA405" s="3"/>
      <c r="AB405" s="3"/>
      <c r="AC405" s="3"/>
      <c r="AD405" s="3"/>
      <c r="AE405" s="3"/>
      <c r="AF405" s="3"/>
      <c r="AG405" s="3"/>
      <c r="AH405" s="3"/>
    </row>
    <row r="406" customFormat="false" ht="15" hidden="false" customHeight="true" outlineLevel="0" collapsed="false">
      <c r="A406" s="2"/>
      <c r="B406" s="36"/>
      <c r="C406" s="37"/>
      <c r="D406" s="37"/>
      <c r="E406" s="38"/>
      <c r="F406" s="39"/>
      <c r="G406" s="40" t="str">
        <f aca="false">IF(OR($E406="",$C406="",$D406=""),"",$E406*$D406*IFERROR(INDEX(Listas!$C$6:$C$20,MATCH($C406,Listas!$B$6:$B$20,0)),0)-$D406*IFERROR(INDEX(Listas!$D$6:$D$20,MATCH($C406,Listas!$B$6:$B$20,0)),0))</f>
        <v/>
      </c>
      <c r="H406" s="41" t="str">
        <f aca="false">IF(OR($F406="",$C406="",$D406=""),"",ABS($F406)*$D406*IFERROR(INDEX(Listas!$C$6:$C$20,MATCH($C406,Listas!$B$6:$B$20,0)),0))</f>
        <v/>
      </c>
      <c r="I406" s="42" t="str">
        <f aca="false">IF(OR($E406="",$F406="",$F406=0),"",$E406/ABS($F406))</f>
        <v/>
      </c>
      <c r="J406" s="43" t="str">
        <f aca="false">IF($B406="","",INDEX(Listas!$G$6:$G$12,WEEKDAY($B406,1)))</f>
        <v/>
      </c>
      <c r="K406" s="43" t="str">
        <f aca="false">IFERROR(IF($L406="","",TEXT(IF($L406&lt;1,HOUR($L406),INT($L406)),"00")&amp;":00"),"")</f>
        <v/>
      </c>
      <c r="L406" s="44"/>
      <c r="M406" s="45"/>
      <c r="N406" s="46"/>
      <c r="O406" s="45"/>
      <c r="P406" s="2"/>
      <c r="Q406" s="2"/>
      <c r="R406" s="2"/>
      <c r="S406" s="2"/>
      <c r="T406" s="2"/>
      <c r="U406" s="47" t="str">
        <f aca="false">IF($G406="","",IF($G406&lt;0,IF(N($U405)=0,1,$U405+1),0))</f>
        <v/>
      </c>
      <c r="V406" s="47" t="str">
        <f aca="false">IF($G406="","",IF($V405="",'Empieza aquí'!$D$8,$V405)+$G406)</f>
        <v/>
      </c>
      <c r="W406" s="47" t="str">
        <f aca="false">IF($V406="","",MAX(IF($W405="",'Empieza aquí'!$D$8,$W405),$V406))</f>
        <v/>
      </c>
      <c r="X406" s="47" t="str">
        <f aca="false">IF($V406="","",$V406-$W406)</f>
        <v/>
      </c>
      <c r="Y406" s="3"/>
      <c r="Z406" s="3"/>
      <c r="AA406" s="3"/>
      <c r="AB406" s="3"/>
      <c r="AC406" s="3"/>
      <c r="AD406" s="3"/>
      <c r="AE406" s="3"/>
      <c r="AF406" s="3"/>
      <c r="AG406" s="3"/>
      <c r="AH406" s="3"/>
    </row>
    <row r="407" customFormat="false" ht="15" hidden="false" customHeight="true" outlineLevel="0" collapsed="false">
      <c r="A407" s="2"/>
      <c r="B407" s="36"/>
      <c r="C407" s="37"/>
      <c r="D407" s="37"/>
      <c r="E407" s="38"/>
      <c r="F407" s="39"/>
      <c r="G407" s="40" t="str">
        <f aca="false">IF(OR($E407="",$C407="",$D407=""),"",$E407*$D407*IFERROR(INDEX(Listas!$C$6:$C$20,MATCH($C407,Listas!$B$6:$B$20,0)),0)-$D407*IFERROR(INDEX(Listas!$D$6:$D$20,MATCH($C407,Listas!$B$6:$B$20,0)),0))</f>
        <v/>
      </c>
      <c r="H407" s="41" t="str">
        <f aca="false">IF(OR($F407="",$C407="",$D407=""),"",ABS($F407)*$D407*IFERROR(INDEX(Listas!$C$6:$C$20,MATCH($C407,Listas!$B$6:$B$20,0)),0))</f>
        <v/>
      </c>
      <c r="I407" s="42" t="str">
        <f aca="false">IF(OR($E407="",$F407="",$F407=0),"",$E407/ABS($F407))</f>
        <v/>
      </c>
      <c r="J407" s="43" t="str">
        <f aca="false">IF($B407="","",INDEX(Listas!$G$6:$G$12,WEEKDAY($B407,1)))</f>
        <v/>
      </c>
      <c r="K407" s="43" t="str">
        <f aca="false">IFERROR(IF($L407="","",TEXT(IF($L407&lt;1,HOUR($L407),INT($L407)),"00")&amp;":00"),"")</f>
        <v/>
      </c>
      <c r="L407" s="44"/>
      <c r="M407" s="45"/>
      <c r="N407" s="46"/>
      <c r="O407" s="45"/>
      <c r="P407" s="2"/>
      <c r="Q407" s="2"/>
      <c r="R407" s="2"/>
      <c r="S407" s="2"/>
      <c r="T407" s="2"/>
      <c r="U407" s="47" t="str">
        <f aca="false">IF($G407="","",IF($G407&lt;0,IF(N($U406)=0,1,$U406+1),0))</f>
        <v/>
      </c>
      <c r="V407" s="47" t="str">
        <f aca="false">IF($G407="","",IF($V406="",'Empieza aquí'!$D$8,$V406)+$G407)</f>
        <v/>
      </c>
      <c r="W407" s="47" t="str">
        <f aca="false">IF($V407="","",MAX(IF($W406="",'Empieza aquí'!$D$8,$W406),$V407))</f>
        <v/>
      </c>
      <c r="X407" s="47" t="str">
        <f aca="false">IF($V407="","",$V407-$W407)</f>
        <v/>
      </c>
      <c r="Y407" s="3"/>
      <c r="Z407" s="3"/>
      <c r="AA407" s="3"/>
      <c r="AB407" s="3"/>
      <c r="AC407" s="3"/>
      <c r="AD407" s="3"/>
      <c r="AE407" s="3"/>
      <c r="AF407" s="3"/>
      <c r="AG407" s="3"/>
      <c r="AH407" s="3"/>
    </row>
    <row r="408" customFormat="false" ht="15" hidden="false" customHeight="true" outlineLevel="0" collapsed="false">
      <c r="A408" s="2"/>
      <c r="B408" s="36"/>
      <c r="C408" s="37"/>
      <c r="D408" s="37"/>
      <c r="E408" s="38"/>
      <c r="F408" s="39"/>
      <c r="G408" s="40" t="str">
        <f aca="false">IF(OR($E408="",$C408="",$D408=""),"",$E408*$D408*IFERROR(INDEX(Listas!$C$6:$C$20,MATCH($C408,Listas!$B$6:$B$20,0)),0)-$D408*IFERROR(INDEX(Listas!$D$6:$D$20,MATCH($C408,Listas!$B$6:$B$20,0)),0))</f>
        <v/>
      </c>
      <c r="H408" s="41" t="str">
        <f aca="false">IF(OR($F408="",$C408="",$D408=""),"",ABS($F408)*$D408*IFERROR(INDEX(Listas!$C$6:$C$20,MATCH($C408,Listas!$B$6:$B$20,0)),0))</f>
        <v/>
      </c>
      <c r="I408" s="42" t="str">
        <f aca="false">IF(OR($E408="",$F408="",$F408=0),"",$E408/ABS($F408))</f>
        <v/>
      </c>
      <c r="J408" s="43" t="str">
        <f aca="false">IF($B408="","",INDEX(Listas!$G$6:$G$12,WEEKDAY($B408,1)))</f>
        <v/>
      </c>
      <c r="K408" s="43" t="str">
        <f aca="false">IFERROR(IF($L408="","",TEXT(IF($L408&lt;1,HOUR($L408),INT($L408)),"00")&amp;":00"),"")</f>
        <v/>
      </c>
      <c r="L408" s="44"/>
      <c r="M408" s="45"/>
      <c r="N408" s="46"/>
      <c r="O408" s="45"/>
      <c r="P408" s="2"/>
      <c r="Q408" s="2"/>
      <c r="R408" s="2"/>
      <c r="S408" s="2"/>
      <c r="T408" s="2"/>
      <c r="U408" s="47" t="str">
        <f aca="false">IF($G408="","",IF($G408&lt;0,IF(N($U407)=0,1,$U407+1),0))</f>
        <v/>
      </c>
      <c r="V408" s="47" t="str">
        <f aca="false">IF($G408="","",IF($V407="",'Empieza aquí'!$D$8,$V407)+$G408)</f>
        <v/>
      </c>
      <c r="W408" s="47" t="str">
        <f aca="false">IF($V408="","",MAX(IF($W407="",'Empieza aquí'!$D$8,$W407),$V408))</f>
        <v/>
      </c>
      <c r="X408" s="47" t="str">
        <f aca="false">IF($V408="","",$V408-$W408)</f>
        <v/>
      </c>
      <c r="Y408" s="3"/>
      <c r="Z408" s="3"/>
      <c r="AA408" s="3"/>
      <c r="AB408" s="3"/>
      <c r="AC408" s="3"/>
      <c r="AD408" s="3"/>
      <c r="AE408" s="3"/>
      <c r="AF408" s="3"/>
      <c r="AG408" s="3"/>
      <c r="AH408" s="3"/>
    </row>
    <row r="409" customFormat="false" ht="15" hidden="false" customHeight="true" outlineLevel="0" collapsed="false">
      <c r="A409" s="2"/>
      <c r="B409" s="36"/>
      <c r="C409" s="37"/>
      <c r="D409" s="37"/>
      <c r="E409" s="38"/>
      <c r="F409" s="39"/>
      <c r="G409" s="40" t="str">
        <f aca="false">IF(OR($E409="",$C409="",$D409=""),"",$E409*$D409*IFERROR(INDEX(Listas!$C$6:$C$20,MATCH($C409,Listas!$B$6:$B$20,0)),0)-$D409*IFERROR(INDEX(Listas!$D$6:$D$20,MATCH($C409,Listas!$B$6:$B$20,0)),0))</f>
        <v/>
      </c>
      <c r="H409" s="41" t="str">
        <f aca="false">IF(OR($F409="",$C409="",$D409=""),"",ABS($F409)*$D409*IFERROR(INDEX(Listas!$C$6:$C$20,MATCH($C409,Listas!$B$6:$B$20,0)),0))</f>
        <v/>
      </c>
      <c r="I409" s="42" t="str">
        <f aca="false">IF(OR($E409="",$F409="",$F409=0),"",$E409/ABS($F409))</f>
        <v/>
      </c>
      <c r="J409" s="43" t="str">
        <f aca="false">IF($B409="","",INDEX(Listas!$G$6:$G$12,WEEKDAY($B409,1)))</f>
        <v/>
      </c>
      <c r="K409" s="43" t="str">
        <f aca="false">IFERROR(IF($L409="","",TEXT(IF($L409&lt;1,HOUR($L409),INT($L409)),"00")&amp;":00"),"")</f>
        <v/>
      </c>
      <c r="L409" s="44"/>
      <c r="M409" s="45"/>
      <c r="N409" s="46"/>
      <c r="O409" s="45"/>
      <c r="P409" s="2"/>
      <c r="Q409" s="2"/>
      <c r="R409" s="2"/>
      <c r="S409" s="2"/>
      <c r="T409" s="2"/>
      <c r="U409" s="47" t="str">
        <f aca="false">IF($G409="","",IF($G409&lt;0,IF(N($U408)=0,1,$U408+1),0))</f>
        <v/>
      </c>
      <c r="V409" s="47" t="str">
        <f aca="false">IF($G409="","",IF($V408="",'Empieza aquí'!$D$8,$V408)+$G409)</f>
        <v/>
      </c>
      <c r="W409" s="47" t="str">
        <f aca="false">IF($V409="","",MAX(IF($W408="",'Empieza aquí'!$D$8,$W408),$V409))</f>
        <v/>
      </c>
      <c r="X409" s="47" t="str">
        <f aca="false">IF($V409="","",$V409-$W409)</f>
        <v/>
      </c>
      <c r="Y409" s="3"/>
      <c r="Z409" s="3"/>
      <c r="AA409" s="3"/>
      <c r="AB409" s="3"/>
      <c r="AC409" s="3"/>
      <c r="AD409" s="3"/>
      <c r="AE409" s="3"/>
      <c r="AF409" s="3"/>
      <c r="AG409" s="3"/>
      <c r="AH409" s="3"/>
    </row>
    <row r="410" customFormat="false" ht="15" hidden="false" customHeight="true" outlineLevel="0" collapsed="false">
      <c r="A410" s="2"/>
      <c r="B410" s="36"/>
      <c r="C410" s="37"/>
      <c r="D410" s="37"/>
      <c r="E410" s="38"/>
      <c r="F410" s="39"/>
      <c r="G410" s="40" t="str">
        <f aca="false">IF(OR($E410="",$C410="",$D410=""),"",$E410*$D410*IFERROR(INDEX(Listas!$C$6:$C$20,MATCH($C410,Listas!$B$6:$B$20,0)),0)-$D410*IFERROR(INDEX(Listas!$D$6:$D$20,MATCH($C410,Listas!$B$6:$B$20,0)),0))</f>
        <v/>
      </c>
      <c r="H410" s="41" t="str">
        <f aca="false">IF(OR($F410="",$C410="",$D410=""),"",ABS($F410)*$D410*IFERROR(INDEX(Listas!$C$6:$C$20,MATCH($C410,Listas!$B$6:$B$20,0)),0))</f>
        <v/>
      </c>
      <c r="I410" s="42" t="str">
        <f aca="false">IF(OR($E410="",$F410="",$F410=0),"",$E410/ABS($F410))</f>
        <v/>
      </c>
      <c r="J410" s="43" t="str">
        <f aca="false">IF($B410="","",INDEX(Listas!$G$6:$G$12,WEEKDAY($B410,1)))</f>
        <v/>
      </c>
      <c r="K410" s="43" t="str">
        <f aca="false">IFERROR(IF($L410="","",TEXT(IF($L410&lt;1,HOUR($L410),INT($L410)),"00")&amp;":00"),"")</f>
        <v/>
      </c>
      <c r="L410" s="44"/>
      <c r="M410" s="45"/>
      <c r="N410" s="46"/>
      <c r="O410" s="45"/>
      <c r="P410" s="2"/>
      <c r="Q410" s="2"/>
      <c r="R410" s="2"/>
      <c r="S410" s="2"/>
      <c r="T410" s="2"/>
      <c r="U410" s="47" t="str">
        <f aca="false">IF($G410="","",IF($G410&lt;0,IF(N($U409)=0,1,$U409+1),0))</f>
        <v/>
      </c>
      <c r="V410" s="47" t="str">
        <f aca="false">IF($G410="","",IF($V409="",'Empieza aquí'!$D$8,$V409)+$G410)</f>
        <v/>
      </c>
      <c r="W410" s="47" t="str">
        <f aca="false">IF($V410="","",MAX(IF($W409="",'Empieza aquí'!$D$8,$W409),$V410))</f>
        <v/>
      </c>
      <c r="X410" s="47" t="str">
        <f aca="false">IF($V410="","",$V410-$W410)</f>
        <v/>
      </c>
      <c r="Y410" s="3"/>
      <c r="Z410" s="3"/>
      <c r="AA410" s="3"/>
      <c r="AB410" s="3"/>
      <c r="AC410" s="3"/>
      <c r="AD410" s="3"/>
      <c r="AE410" s="3"/>
      <c r="AF410" s="3"/>
      <c r="AG410" s="3"/>
      <c r="AH410" s="3"/>
    </row>
    <row r="411" customFormat="false" ht="15" hidden="false" customHeight="true" outlineLevel="0" collapsed="false">
      <c r="A411" s="2"/>
      <c r="B411" s="36"/>
      <c r="C411" s="37"/>
      <c r="D411" s="37"/>
      <c r="E411" s="38"/>
      <c r="F411" s="39"/>
      <c r="G411" s="40" t="str">
        <f aca="false">IF(OR($E411="",$C411="",$D411=""),"",$E411*$D411*IFERROR(INDEX(Listas!$C$6:$C$20,MATCH($C411,Listas!$B$6:$B$20,0)),0)-$D411*IFERROR(INDEX(Listas!$D$6:$D$20,MATCH($C411,Listas!$B$6:$B$20,0)),0))</f>
        <v/>
      </c>
      <c r="H411" s="41" t="str">
        <f aca="false">IF(OR($F411="",$C411="",$D411=""),"",ABS($F411)*$D411*IFERROR(INDEX(Listas!$C$6:$C$20,MATCH($C411,Listas!$B$6:$B$20,0)),0))</f>
        <v/>
      </c>
      <c r="I411" s="42" t="str">
        <f aca="false">IF(OR($E411="",$F411="",$F411=0),"",$E411/ABS($F411))</f>
        <v/>
      </c>
      <c r="J411" s="43" t="str">
        <f aca="false">IF($B411="","",INDEX(Listas!$G$6:$G$12,WEEKDAY($B411,1)))</f>
        <v/>
      </c>
      <c r="K411" s="43" t="str">
        <f aca="false">IFERROR(IF($L411="","",TEXT(IF($L411&lt;1,HOUR($L411),INT($L411)),"00")&amp;":00"),"")</f>
        <v/>
      </c>
      <c r="L411" s="44"/>
      <c r="M411" s="45"/>
      <c r="N411" s="46"/>
      <c r="O411" s="45"/>
      <c r="P411" s="2"/>
      <c r="Q411" s="2"/>
      <c r="R411" s="2"/>
      <c r="S411" s="2"/>
      <c r="T411" s="2"/>
      <c r="U411" s="47" t="str">
        <f aca="false">IF($G411="","",IF($G411&lt;0,IF(N($U410)=0,1,$U410+1),0))</f>
        <v/>
      </c>
      <c r="V411" s="47" t="str">
        <f aca="false">IF($G411="","",IF($V410="",'Empieza aquí'!$D$8,$V410)+$G411)</f>
        <v/>
      </c>
      <c r="W411" s="47" t="str">
        <f aca="false">IF($V411="","",MAX(IF($W410="",'Empieza aquí'!$D$8,$W410),$V411))</f>
        <v/>
      </c>
      <c r="X411" s="47" t="str">
        <f aca="false">IF($V411="","",$V411-$W411)</f>
        <v/>
      </c>
      <c r="Y411" s="3"/>
      <c r="Z411" s="3"/>
      <c r="AA411" s="3"/>
      <c r="AB411" s="3"/>
      <c r="AC411" s="3"/>
      <c r="AD411" s="3"/>
      <c r="AE411" s="3"/>
      <c r="AF411" s="3"/>
      <c r="AG411" s="3"/>
      <c r="AH411" s="3"/>
    </row>
    <row r="412" customFormat="false" ht="15" hidden="false" customHeight="true" outlineLevel="0" collapsed="false">
      <c r="A412" s="2"/>
      <c r="B412" s="36"/>
      <c r="C412" s="37"/>
      <c r="D412" s="37"/>
      <c r="E412" s="38"/>
      <c r="F412" s="39"/>
      <c r="G412" s="40" t="str">
        <f aca="false">IF(OR($E412="",$C412="",$D412=""),"",$E412*$D412*IFERROR(INDEX(Listas!$C$6:$C$20,MATCH($C412,Listas!$B$6:$B$20,0)),0)-$D412*IFERROR(INDEX(Listas!$D$6:$D$20,MATCH($C412,Listas!$B$6:$B$20,0)),0))</f>
        <v/>
      </c>
      <c r="H412" s="41" t="str">
        <f aca="false">IF(OR($F412="",$C412="",$D412=""),"",ABS($F412)*$D412*IFERROR(INDEX(Listas!$C$6:$C$20,MATCH($C412,Listas!$B$6:$B$20,0)),0))</f>
        <v/>
      </c>
      <c r="I412" s="42" t="str">
        <f aca="false">IF(OR($E412="",$F412="",$F412=0),"",$E412/ABS($F412))</f>
        <v/>
      </c>
      <c r="J412" s="43" t="str">
        <f aca="false">IF($B412="","",INDEX(Listas!$G$6:$G$12,WEEKDAY($B412,1)))</f>
        <v/>
      </c>
      <c r="K412" s="43" t="str">
        <f aca="false">IFERROR(IF($L412="","",TEXT(IF($L412&lt;1,HOUR($L412),INT($L412)),"00")&amp;":00"),"")</f>
        <v/>
      </c>
      <c r="L412" s="44"/>
      <c r="M412" s="45"/>
      <c r="N412" s="46"/>
      <c r="O412" s="45"/>
      <c r="P412" s="2"/>
      <c r="Q412" s="2"/>
      <c r="R412" s="2"/>
      <c r="S412" s="2"/>
      <c r="T412" s="2"/>
      <c r="U412" s="47" t="str">
        <f aca="false">IF($G412="","",IF($G412&lt;0,IF(N($U411)=0,1,$U411+1),0))</f>
        <v/>
      </c>
      <c r="V412" s="47" t="str">
        <f aca="false">IF($G412="","",IF($V411="",'Empieza aquí'!$D$8,$V411)+$G412)</f>
        <v/>
      </c>
      <c r="W412" s="47" t="str">
        <f aca="false">IF($V412="","",MAX(IF($W411="",'Empieza aquí'!$D$8,$W411),$V412))</f>
        <v/>
      </c>
      <c r="X412" s="47" t="str">
        <f aca="false">IF($V412="","",$V412-$W412)</f>
        <v/>
      </c>
      <c r="Y412" s="3"/>
      <c r="Z412" s="3"/>
      <c r="AA412" s="3"/>
      <c r="AB412" s="3"/>
      <c r="AC412" s="3"/>
      <c r="AD412" s="3"/>
      <c r="AE412" s="3"/>
      <c r="AF412" s="3"/>
      <c r="AG412" s="3"/>
      <c r="AH412" s="3"/>
    </row>
    <row r="413" customFormat="false" ht="15" hidden="false" customHeight="true" outlineLevel="0" collapsed="false">
      <c r="A413" s="2"/>
      <c r="B413" s="36"/>
      <c r="C413" s="37"/>
      <c r="D413" s="37"/>
      <c r="E413" s="38"/>
      <c r="F413" s="39"/>
      <c r="G413" s="40" t="str">
        <f aca="false">IF(OR($E413="",$C413="",$D413=""),"",$E413*$D413*IFERROR(INDEX(Listas!$C$6:$C$20,MATCH($C413,Listas!$B$6:$B$20,0)),0)-$D413*IFERROR(INDEX(Listas!$D$6:$D$20,MATCH($C413,Listas!$B$6:$B$20,0)),0))</f>
        <v/>
      </c>
      <c r="H413" s="41" t="str">
        <f aca="false">IF(OR($F413="",$C413="",$D413=""),"",ABS($F413)*$D413*IFERROR(INDEX(Listas!$C$6:$C$20,MATCH($C413,Listas!$B$6:$B$20,0)),0))</f>
        <v/>
      </c>
      <c r="I413" s="42" t="str">
        <f aca="false">IF(OR($E413="",$F413="",$F413=0),"",$E413/ABS($F413))</f>
        <v/>
      </c>
      <c r="J413" s="43" t="str">
        <f aca="false">IF($B413="","",INDEX(Listas!$G$6:$G$12,WEEKDAY($B413,1)))</f>
        <v/>
      </c>
      <c r="K413" s="43" t="str">
        <f aca="false">IFERROR(IF($L413="","",TEXT(IF($L413&lt;1,HOUR($L413),INT($L413)),"00")&amp;":00"),"")</f>
        <v/>
      </c>
      <c r="L413" s="44"/>
      <c r="M413" s="45"/>
      <c r="N413" s="46"/>
      <c r="O413" s="45"/>
      <c r="P413" s="2"/>
      <c r="Q413" s="2"/>
      <c r="R413" s="2"/>
      <c r="S413" s="2"/>
      <c r="T413" s="2"/>
      <c r="U413" s="47" t="str">
        <f aca="false">IF($G413="","",IF($G413&lt;0,IF(N($U412)=0,1,$U412+1),0))</f>
        <v/>
      </c>
      <c r="V413" s="47" t="str">
        <f aca="false">IF($G413="","",IF($V412="",'Empieza aquí'!$D$8,$V412)+$G413)</f>
        <v/>
      </c>
      <c r="W413" s="47" t="str">
        <f aca="false">IF($V413="","",MAX(IF($W412="",'Empieza aquí'!$D$8,$W412),$V413))</f>
        <v/>
      </c>
      <c r="X413" s="47" t="str">
        <f aca="false">IF($V413="","",$V413-$W413)</f>
        <v/>
      </c>
      <c r="Y413" s="3"/>
      <c r="Z413" s="3"/>
      <c r="AA413" s="3"/>
      <c r="AB413" s="3"/>
      <c r="AC413" s="3"/>
      <c r="AD413" s="3"/>
      <c r="AE413" s="3"/>
      <c r="AF413" s="3"/>
      <c r="AG413" s="3"/>
      <c r="AH413" s="3"/>
    </row>
    <row r="414" customFormat="false" ht="15" hidden="false" customHeight="true" outlineLevel="0" collapsed="false">
      <c r="A414" s="2"/>
      <c r="B414" s="36"/>
      <c r="C414" s="37"/>
      <c r="D414" s="37"/>
      <c r="E414" s="38"/>
      <c r="F414" s="39"/>
      <c r="G414" s="40" t="str">
        <f aca="false">IF(OR($E414="",$C414="",$D414=""),"",$E414*$D414*IFERROR(INDEX(Listas!$C$6:$C$20,MATCH($C414,Listas!$B$6:$B$20,0)),0)-$D414*IFERROR(INDEX(Listas!$D$6:$D$20,MATCH($C414,Listas!$B$6:$B$20,0)),0))</f>
        <v/>
      </c>
      <c r="H414" s="41" t="str">
        <f aca="false">IF(OR($F414="",$C414="",$D414=""),"",ABS($F414)*$D414*IFERROR(INDEX(Listas!$C$6:$C$20,MATCH($C414,Listas!$B$6:$B$20,0)),0))</f>
        <v/>
      </c>
      <c r="I414" s="42" t="str">
        <f aca="false">IF(OR($E414="",$F414="",$F414=0),"",$E414/ABS($F414))</f>
        <v/>
      </c>
      <c r="J414" s="43" t="str">
        <f aca="false">IF($B414="","",INDEX(Listas!$G$6:$G$12,WEEKDAY($B414,1)))</f>
        <v/>
      </c>
      <c r="K414" s="43" t="str">
        <f aca="false">IFERROR(IF($L414="","",TEXT(IF($L414&lt;1,HOUR($L414),INT($L414)),"00")&amp;":00"),"")</f>
        <v/>
      </c>
      <c r="L414" s="44"/>
      <c r="M414" s="45"/>
      <c r="N414" s="46"/>
      <c r="O414" s="45"/>
      <c r="P414" s="2"/>
      <c r="Q414" s="2"/>
      <c r="R414" s="2"/>
      <c r="S414" s="2"/>
      <c r="T414" s="2"/>
      <c r="U414" s="47" t="str">
        <f aca="false">IF($G414="","",IF($G414&lt;0,IF(N($U413)=0,1,$U413+1),0))</f>
        <v/>
      </c>
      <c r="V414" s="47" t="str">
        <f aca="false">IF($G414="","",IF($V413="",'Empieza aquí'!$D$8,$V413)+$G414)</f>
        <v/>
      </c>
      <c r="W414" s="47" t="str">
        <f aca="false">IF($V414="","",MAX(IF($W413="",'Empieza aquí'!$D$8,$W413),$V414))</f>
        <v/>
      </c>
      <c r="X414" s="47" t="str">
        <f aca="false">IF($V414="","",$V414-$W414)</f>
        <v/>
      </c>
      <c r="Y414" s="3"/>
      <c r="Z414" s="3"/>
      <c r="AA414" s="3"/>
      <c r="AB414" s="3"/>
      <c r="AC414" s="3"/>
      <c r="AD414" s="3"/>
      <c r="AE414" s="3"/>
      <c r="AF414" s="3"/>
      <c r="AG414" s="3"/>
      <c r="AH414" s="3"/>
    </row>
    <row r="415" customFormat="false" ht="15" hidden="false" customHeight="true" outlineLevel="0" collapsed="false">
      <c r="A415" s="2"/>
      <c r="B415" s="36"/>
      <c r="C415" s="37"/>
      <c r="D415" s="37"/>
      <c r="E415" s="38"/>
      <c r="F415" s="39"/>
      <c r="G415" s="40" t="str">
        <f aca="false">IF(OR($E415="",$C415="",$D415=""),"",$E415*$D415*IFERROR(INDEX(Listas!$C$6:$C$20,MATCH($C415,Listas!$B$6:$B$20,0)),0)-$D415*IFERROR(INDEX(Listas!$D$6:$D$20,MATCH($C415,Listas!$B$6:$B$20,0)),0))</f>
        <v/>
      </c>
      <c r="H415" s="41" t="str">
        <f aca="false">IF(OR($F415="",$C415="",$D415=""),"",ABS($F415)*$D415*IFERROR(INDEX(Listas!$C$6:$C$20,MATCH($C415,Listas!$B$6:$B$20,0)),0))</f>
        <v/>
      </c>
      <c r="I415" s="42" t="str">
        <f aca="false">IF(OR($E415="",$F415="",$F415=0),"",$E415/ABS($F415))</f>
        <v/>
      </c>
      <c r="J415" s="43" t="str">
        <f aca="false">IF($B415="","",INDEX(Listas!$G$6:$G$12,WEEKDAY($B415,1)))</f>
        <v/>
      </c>
      <c r="K415" s="43" t="str">
        <f aca="false">IFERROR(IF($L415="","",TEXT(IF($L415&lt;1,HOUR($L415),INT($L415)),"00")&amp;":00"),"")</f>
        <v/>
      </c>
      <c r="L415" s="44"/>
      <c r="M415" s="45"/>
      <c r="N415" s="46"/>
      <c r="O415" s="45"/>
      <c r="P415" s="2"/>
      <c r="Q415" s="2"/>
      <c r="R415" s="2"/>
      <c r="S415" s="2"/>
      <c r="T415" s="2"/>
      <c r="U415" s="47" t="str">
        <f aca="false">IF($G415="","",IF($G415&lt;0,IF(N($U414)=0,1,$U414+1),0))</f>
        <v/>
      </c>
      <c r="V415" s="47" t="str">
        <f aca="false">IF($G415="","",IF($V414="",'Empieza aquí'!$D$8,$V414)+$G415)</f>
        <v/>
      </c>
      <c r="W415" s="47" t="str">
        <f aca="false">IF($V415="","",MAX(IF($W414="",'Empieza aquí'!$D$8,$W414),$V415))</f>
        <v/>
      </c>
      <c r="X415" s="47" t="str">
        <f aca="false">IF($V415="","",$V415-$W415)</f>
        <v/>
      </c>
      <c r="Y415" s="3"/>
      <c r="Z415" s="3"/>
      <c r="AA415" s="3"/>
      <c r="AB415" s="3"/>
      <c r="AC415" s="3"/>
      <c r="AD415" s="3"/>
      <c r="AE415" s="3"/>
      <c r="AF415" s="3"/>
      <c r="AG415" s="3"/>
      <c r="AH415" s="3"/>
    </row>
    <row r="416" customFormat="false" ht="15" hidden="false" customHeight="true" outlineLevel="0" collapsed="false">
      <c r="A416" s="2"/>
      <c r="B416" s="36"/>
      <c r="C416" s="37"/>
      <c r="D416" s="37"/>
      <c r="E416" s="38"/>
      <c r="F416" s="39"/>
      <c r="G416" s="40" t="str">
        <f aca="false">IF(OR($E416="",$C416="",$D416=""),"",$E416*$D416*IFERROR(INDEX(Listas!$C$6:$C$20,MATCH($C416,Listas!$B$6:$B$20,0)),0)-$D416*IFERROR(INDEX(Listas!$D$6:$D$20,MATCH($C416,Listas!$B$6:$B$20,0)),0))</f>
        <v/>
      </c>
      <c r="H416" s="41" t="str">
        <f aca="false">IF(OR($F416="",$C416="",$D416=""),"",ABS($F416)*$D416*IFERROR(INDEX(Listas!$C$6:$C$20,MATCH($C416,Listas!$B$6:$B$20,0)),0))</f>
        <v/>
      </c>
      <c r="I416" s="42" t="str">
        <f aca="false">IF(OR($E416="",$F416="",$F416=0),"",$E416/ABS($F416))</f>
        <v/>
      </c>
      <c r="J416" s="43" t="str">
        <f aca="false">IF($B416="","",INDEX(Listas!$G$6:$G$12,WEEKDAY($B416,1)))</f>
        <v/>
      </c>
      <c r="K416" s="43" t="str">
        <f aca="false">IFERROR(IF($L416="","",TEXT(IF($L416&lt;1,HOUR($L416),INT($L416)),"00")&amp;":00"),"")</f>
        <v/>
      </c>
      <c r="L416" s="44"/>
      <c r="M416" s="45"/>
      <c r="N416" s="46"/>
      <c r="O416" s="45"/>
      <c r="P416" s="2"/>
      <c r="Q416" s="2"/>
      <c r="R416" s="2"/>
      <c r="S416" s="2"/>
      <c r="T416" s="2"/>
      <c r="U416" s="47" t="str">
        <f aca="false">IF($G416="","",IF($G416&lt;0,IF(N($U415)=0,1,$U415+1),0))</f>
        <v/>
      </c>
      <c r="V416" s="47" t="str">
        <f aca="false">IF($G416="","",IF($V415="",'Empieza aquí'!$D$8,$V415)+$G416)</f>
        <v/>
      </c>
      <c r="W416" s="47" t="str">
        <f aca="false">IF($V416="","",MAX(IF($W415="",'Empieza aquí'!$D$8,$W415),$V416))</f>
        <v/>
      </c>
      <c r="X416" s="47" t="str">
        <f aca="false">IF($V416="","",$V416-$W416)</f>
        <v/>
      </c>
      <c r="Y416" s="3"/>
      <c r="Z416" s="3"/>
      <c r="AA416" s="3"/>
      <c r="AB416" s="3"/>
      <c r="AC416" s="3"/>
      <c r="AD416" s="3"/>
      <c r="AE416" s="3"/>
      <c r="AF416" s="3"/>
      <c r="AG416" s="3"/>
      <c r="AH416" s="3"/>
    </row>
    <row r="417" customFormat="false" ht="15" hidden="false" customHeight="true" outlineLevel="0" collapsed="false">
      <c r="A417" s="2"/>
      <c r="B417" s="36"/>
      <c r="C417" s="37"/>
      <c r="D417" s="37"/>
      <c r="E417" s="38"/>
      <c r="F417" s="39"/>
      <c r="G417" s="40" t="str">
        <f aca="false">IF(OR($E417="",$C417="",$D417=""),"",$E417*$D417*IFERROR(INDEX(Listas!$C$6:$C$20,MATCH($C417,Listas!$B$6:$B$20,0)),0)-$D417*IFERROR(INDEX(Listas!$D$6:$D$20,MATCH($C417,Listas!$B$6:$B$20,0)),0))</f>
        <v/>
      </c>
      <c r="H417" s="41" t="str">
        <f aca="false">IF(OR($F417="",$C417="",$D417=""),"",ABS($F417)*$D417*IFERROR(INDEX(Listas!$C$6:$C$20,MATCH($C417,Listas!$B$6:$B$20,0)),0))</f>
        <v/>
      </c>
      <c r="I417" s="42" t="str">
        <f aca="false">IF(OR($E417="",$F417="",$F417=0),"",$E417/ABS($F417))</f>
        <v/>
      </c>
      <c r="J417" s="43" t="str">
        <f aca="false">IF($B417="","",INDEX(Listas!$G$6:$G$12,WEEKDAY($B417,1)))</f>
        <v/>
      </c>
      <c r="K417" s="43" t="str">
        <f aca="false">IFERROR(IF($L417="","",TEXT(IF($L417&lt;1,HOUR($L417),INT($L417)),"00")&amp;":00"),"")</f>
        <v/>
      </c>
      <c r="L417" s="44"/>
      <c r="M417" s="45"/>
      <c r="N417" s="46"/>
      <c r="O417" s="45"/>
      <c r="P417" s="2"/>
      <c r="Q417" s="2"/>
      <c r="R417" s="2"/>
      <c r="S417" s="2"/>
      <c r="T417" s="2"/>
      <c r="U417" s="47" t="str">
        <f aca="false">IF($G417="","",IF($G417&lt;0,IF(N($U416)=0,1,$U416+1),0))</f>
        <v/>
      </c>
      <c r="V417" s="47" t="str">
        <f aca="false">IF($G417="","",IF($V416="",'Empieza aquí'!$D$8,$V416)+$G417)</f>
        <v/>
      </c>
      <c r="W417" s="47" t="str">
        <f aca="false">IF($V417="","",MAX(IF($W416="",'Empieza aquí'!$D$8,$W416),$V417))</f>
        <v/>
      </c>
      <c r="X417" s="47" t="str">
        <f aca="false">IF($V417="","",$V417-$W417)</f>
        <v/>
      </c>
      <c r="Y417" s="3"/>
      <c r="Z417" s="3"/>
      <c r="AA417" s="3"/>
      <c r="AB417" s="3"/>
      <c r="AC417" s="3"/>
      <c r="AD417" s="3"/>
      <c r="AE417" s="3"/>
      <c r="AF417" s="3"/>
      <c r="AG417" s="3"/>
      <c r="AH417" s="3"/>
    </row>
    <row r="418" customFormat="false" ht="15" hidden="false" customHeight="true" outlineLevel="0" collapsed="false">
      <c r="A418" s="2"/>
      <c r="B418" s="36"/>
      <c r="C418" s="37"/>
      <c r="D418" s="37"/>
      <c r="E418" s="38"/>
      <c r="F418" s="39"/>
      <c r="G418" s="40" t="str">
        <f aca="false">IF(OR($E418="",$C418="",$D418=""),"",$E418*$D418*IFERROR(INDEX(Listas!$C$6:$C$20,MATCH($C418,Listas!$B$6:$B$20,0)),0)-$D418*IFERROR(INDEX(Listas!$D$6:$D$20,MATCH($C418,Listas!$B$6:$B$20,0)),0))</f>
        <v/>
      </c>
      <c r="H418" s="41" t="str">
        <f aca="false">IF(OR($F418="",$C418="",$D418=""),"",ABS($F418)*$D418*IFERROR(INDEX(Listas!$C$6:$C$20,MATCH($C418,Listas!$B$6:$B$20,0)),0))</f>
        <v/>
      </c>
      <c r="I418" s="42" t="str">
        <f aca="false">IF(OR($E418="",$F418="",$F418=0),"",$E418/ABS($F418))</f>
        <v/>
      </c>
      <c r="J418" s="43" t="str">
        <f aca="false">IF($B418="","",INDEX(Listas!$G$6:$G$12,WEEKDAY($B418,1)))</f>
        <v/>
      </c>
      <c r="K418" s="43" t="str">
        <f aca="false">IFERROR(IF($L418="","",TEXT(IF($L418&lt;1,HOUR($L418),INT($L418)),"00")&amp;":00"),"")</f>
        <v/>
      </c>
      <c r="L418" s="44"/>
      <c r="M418" s="45"/>
      <c r="N418" s="46"/>
      <c r="O418" s="45"/>
      <c r="P418" s="2"/>
      <c r="Q418" s="2"/>
      <c r="R418" s="2"/>
      <c r="S418" s="2"/>
      <c r="T418" s="2"/>
      <c r="U418" s="47" t="str">
        <f aca="false">IF($G418="","",IF($G418&lt;0,IF(N($U417)=0,1,$U417+1),0))</f>
        <v/>
      </c>
      <c r="V418" s="47" t="str">
        <f aca="false">IF($G418="","",IF($V417="",'Empieza aquí'!$D$8,$V417)+$G418)</f>
        <v/>
      </c>
      <c r="W418" s="47" t="str">
        <f aca="false">IF($V418="","",MAX(IF($W417="",'Empieza aquí'!$D$8,$W417),$V418))</f>
        <v/>
      </c>
      <c r="X418" s="47" t="str">
        <f aca="false">IF($V418="","",$V418-$W418)</f>
        <v/>
      </c>
      <c r="Y418" s="3"/>
      <c r="Z418" s="3"/>
      <c r="AA418" s="3"/>
      <c r="AB418" s="3"/>
      <c r="AC418" s="3"/>
      <c r="AD418" s="3"/>
      <c r="AE418" s="3"/>
      <c r="AF418" s="3"/>
      <c r="AG418" s="3"/>
      <c r="AH418" s="3"/>
    </row>
    <row r="419" customFormat="false" ht="15" hidden="false" customHeight="true" outlineLevel="0" collapsed="false">
      <c r="A419" s="2"/>
      <c r="B419" s="36"/>
      <c r="C419" s="37"/>
      <c r="D419" s="37"/>
      <c r="E419" s="38"/>
      <c r="F419" s="39"/>
      <c r="G419" s="40" t="str">
        <f aca="false">IF(OR($E419="",$C419="",$D419=""),"",$E419*$D419*IFERROR(INDEX(Listas!$C$6:$C$20,MATCH($C419,Listas!$B$6:$B$20,0)),0)-$D419*IFERROR(INDEX(Listas!$D$6:$D$20,MATCH($C419,Listas!$B$6:$B$20,0)),0))</f>
        <v/>
      </c>
      <c r="H419" s="41" t="str">
        <f aca="false">IF(OR($F419="",$C419="",$D419=""),"",ABS($F419)*$D419*IFERROR(INDEX(Listas!$C$6:$C$20,MATCH($C419,Listas!$B$6:$B$20,0)),0))</f>
        <v/>
      </c>
      <c r="I419" s="42" t="str">
        <f aca="false">IF(OR($E419="",$F419="",$F419=0),"",$E419/ABS($F419))</f>
        <v/>
      </c>
      <c r="J419" s="43" t="str">
        <f aca="false">IF($B419="","",INDEX(Listas!$G$6:$G$12,WEEKDAY($B419,1)))</f>
        <v/>
      </c>
      <c r="K419" s="43" t="str">
        <f aca="false">IFERROR(IF($L419="","",TEXT(IF($L419&lt;1,HOUR($L419),INT($L419)),"00")&amp;":00"),"")</f>
        <v/>
      </c>
      <c r="L419" s="44"/>
      <c r="M419" s="45"/>
      <c r="N419" s="46"/>
      <c r="O419" s="45"/>
      <c r="P419" s="2"/>
      <c r="Q419" s="2"/>
      <c r="R419" s="2"/>
      <c r="S419" s="2"/>
      <c r="T419" s="2"/>
      <c r="U419" s="47" t="str">
        <f aca="false">IF($G419="","",IF($G419&lt;0,IF(N($U418)=0,1,$U418+1),0))</f>
        <v/>
      </c>
      <c r="V419" s="47" t="str">
        <f aca="false">IF($G419="","",IF($V418="",'Empieza aquí'!$D$8,$V418)+$G419)</f>
        <v/>
      </c>
      <c r="W419" s="47" t="str">
        <f aca="false">IF($V419="","",MAX(IF($W418="",'Empieza aquí'!$D$8,$W418),$V419))</f>
        <v/>
      </c>
      <c r="X419" s="47" t="str">
        <f aca="false">IF($V419="","",$V419-$W419)</f>
        <v/>
      </c>
      <c r="Y419" s="3"/>
      <c r="Z419" s="3"/>
      <c r="AA419" s="3"/>
      <c r="AB419" s="3"/>
      <c r="AC419" s="3"/>
      <c r="AD419" s="3"/>
      <c r="AE419" s="3"/>
      <c r="AF419" s="3"/>
      <c r="AG419" s="3"/>
      <c r="AH419" s="3"/>
    </row>
    <row r="420" customFormat="false" ht="15" hidden="false" customHeight="true" outlineLevel="0" collapsed="false">
      <c r="A420" s="2"/>
      <c r="B420" s="36"/>
      <c r="C420" s="37"/>
      <c r="D420" s="37"/>
      <c r="E420" s="38"/>
      <c r="F420" s="39"/>
      <c r="G420" s="40" t="str">
        <f aca="false">IF(OR($E420="",$C420="",$D420=""),"",$E420*$D420*IFERROR(INDEX(Listas!$C$6:$C$20,MATCH($C420,Listas!$B$6:$B$20,0)),0)-$D420*IFERROR(INDEX(Listas!$D$6:$D$20,MATCH($C420,Listas!$B$6:$B$20,0)),0))</f>
        <v/>
      </c>
      <c r="H420" s="41" t="str">
        <f aca="false">IF(OR($F420="",$C420="",$D420=""),"",ABS($F420)*$D420*IFERROR(INDEX(Listas!$C$6:$C$20,MATCH($C420,Listas!$B$6:$B$20,0)),0))</f>
        <v/>
      </c>
      <c r="I420" s="42" t="str">
        <f aca="false">IF(OR($E420="",$F420="",$F420=0),"",$E420/ABS($F420))</f>
        <v/>
      </c>
      <c r="J420" s="43" t="str">
        <f aca="false">IF($B420="","",INDEX(Listas!$G$6:$G$12,WEEKDAY($B420,1)))</f>
        <v/>
      </c>
      <c r="K420" s="43" t="str">
        <f aca="false">IFERROR(IF($L420="","",TEXT(IF($L420&lt;1,HOUR($L420),INT($L420)),"00")&amp;":00"),"")</f>
        <v/>
      </c>
      <c r="L420" s="44"/>
      <c r="M420" s="45"/>
      <c r="N420" s="46"/>
      <c r="O420" s="45"/>
      <c r="P420" s="2"/>
      <c r="Q420" s="2"/>
      <c r="R420" s="2"/>
      <c r="S420" s="2"/>
      <c r="T420" s="2"/>
      <c r="U420" s="47" t="str">
        <f aca="false">IF($G420="","",IF($G420&lt;0,IF(N($U419)=0,1,$U419+1),0))</f>
        <v/>
      </c>
      <c r="V420" s="47" t="str">
        <f aca="false">IF($G420="","",IF($V419="",'Empieza aquí'!$D$8,$V419)+$G420)</f>
        <v/>
      </c>
      <c r="W420" s="47" t="str">
        <f aca="false">IF($V420="","",MAX(IF($W419="",'Empieza aquí'!$D$8,$W419),$V420))</f>
        <v/>
      </c>
      <c r="X420" s="47" t="str">
        <f aca="false">IF($V420="","",$V420-$W420)</f>
        <v/>
      </c>
      <c r="Y420" s="3"/>
      <c r="Z420" s="3"/>
      <c r="AA420" s="3"/>
      <c r="AB420" s="3"/>
      <c r="AC420" s="3"/>
      <c r="AD420" s="3"/>
      <c r="AE420" s="3"/>
      <c r="AF420" s="3"/>
      <c r="AG420" s="3"/>
      <c r="AH420" s="3"/>
    </row>
    <row r="421" customFormat="false" ht="15" hidden="false" customHeight="true" outlineLevel="0" collapsed="false">
      <c r="A421" s="2"/>
      <c r="B421" s="36"/>
      <c r="C421" s="37"/>
      <c r="D421" s="37"/>
      <c r="E421" s="38"/>
      <c r="F421" s="39"/>
      <c r="G421" s="40" t="str">
        <f aca="false">IF(OR($E421="",$C421="",$D421=""),"",$E421*$D421*IFERROR(INDEX(Listas!$C$6:$C$20,MATCH($C421,Listas!$B$6:$B$20,0)),0)-$D421*IFERROR(INDEX(Listas!$D$6:$D$20,MATCH($C421,Listas!$B$6:$B$20,0)),0))</f>
        <v/>
      </c>
      <c r="H421" s="41" t="str">
        <f aca="false">IF(OR($F421="",$C421="",$D421=""),"",ABS($F421)*$D421*IFERROR(INDEX(Listas!$C$6:$C$20,MATCH($C421,Listas!$B$6:$B$20,0)),0))</f>
        <v/>
      </c>
      <c r="I421" s="42" t="str">
        <f aca="false">IF(OR($E421="",$F421="",$F421=0),"",$E421/ABS($F421))</f>
        <v/>
      </c>
      <c r="J421" s="43" t="str">
        <f aca="false">IF($B421="","",INDEX(Listas!$G$6:$G$12,WEEKDAY($B421,1)))</f>
        <v/>
      </c>
      <c r="K421" s="43" t="str">
        <f aca="false">IFERROR(IF($L421="","",TEXT(IF($L421&lt;1,HOUR($L421),INT($L421)),"00")&amp;":00"),"")</f>
        <v/>
      </c>
      <c r="L421" s="44"/>
      <c r="M421" s="45"/>
      <c r="N421" s="46"/>
      <c r="O421" s="45"/>
      <c r="P421" s="2"/>
      <c r="Q421" s="2"/>
      <c r="R421" s="2"/>
      <c r="S421" s="2"/>
      <c r="T421" s="2"/>
      <c r="U421" s="47" t="str">
        <f aca="false">IF($G421="","",IF($G421&lt;0,IF(N($U420)=0,1,$U420+1),0))</f>
        <v/>
      </c>
      <c r="V421" s="47" t="str">
        <f aca="false">IF($G421="","",IF($V420="",'Empieza aquí'!$D$8,$V420)+$G421)</f>
        <v/>
      </c>
      <c r="W421" s="47" t="str">
        <f aca="false">IF($V421="","",MAX(IF($W420="",'Empieza aquí'!$D$8,$W420),$V421))</f>
        <v/>
      </c>
      <c r="X421" s="47" t="str">
        <f aca="false">IF($V421="","",$V421-$W421)</f>
        <v/>
      </c>
      <c r="Y421" s="3"/>
      <c r="Z421" s="3"/>
      <c r="AA421" s="3"/>
      <c r="AB421" s="3"/>
      <c r="AC421" s="3"/>
      <c r="AD421" s="3"/>
      <c r="AE421" s="3"/>
      <c r="AF421" s="3"/>
      <c r="AG421" s="3"/>
      <c r="AH421" s="3"/>
    </row>
    <row r="422" customFormat="false" ht="15" hidden="false" customHeight="true" outlineLevel="0" collapsed="false">
      <c r="A422" s="2"/>
      <c r="B422" s="36"/>
      <c r="C422" s="37"/>
      <c r="D422" s="37"/>
      <c r="E422" s="38"/>
      <c r="F422" s="39"/>
      <c r="G422" s="40" t="str">
        <f aca="false">IF(OR($E422="",$C422="",$D422=""),"",$E422*$D422*IFERROR(INDEX(Listas!$C$6:$C$20,MATCH($C422,Listas!$B$6:$B$20,0)),0)-$D422*IFERROR(INDEX(Listas!$D$6:$D$20,MATCH($C422,Listas!$B$6:$B$20,0)),0))</f>
        <v/>
      </c>
      <c r="H422" s="41" t="str">
        <f aca="false">IF(OR($F422="",$C422="",$D422=""),"",ABS($F422)*$D422*IFERROR(INDEX(Listas!$C$6:$C$20,MATCH($C422,Listas!$B$6:$B$20,0)),0))</f>
        <v/>
      </c>
      <c r="I422" s="42" t="str">
        <f aca="false">IF(OR($E422="",$F422="",$F422=0),"",$E422/ABS($F422))</f>
        <v/>
      </c>
      <c r="J422" s="43" t="str">
        <f aca="false">IF($B422="","",INDEX(Listas!$G$6:$G$12,WEEKDAY($B422,1)))</f>
        <v/>
      </c>
      <c r="K422" s="43" t="str">
        <f aca="false">IFERROR(IF($L422="","",TEXT(IF($L422&lt;1,HOUR($L422),INT($L422)),"00")&amp;":00"),"")</f>
        <v/>
      </c>
      <c r="L422" s="44"/>
      <c r="M422" s="45"/>
      <c r="N422" s="46"/>
      <c r="O422" s="45"/>
      <c r="P422" s="2"/>
      <c r="Q422" s="2"/>
      <c r="R422" s="2"/>
      <c r="S422" s="2"/>
      <c r="T422" s="2"/>
      <c r="U422" s="47" t="str">
        <f aca="false">IF($G422="","",IF($G422&lt;0,IF(N($U421)=0,1,$U421+1),0))</f>
        <v/>
      </c>
      <c r="V422" s="47" t="str">
        <f aca="false">IF($G422="","",IF($V421="",'Empieza aquí'!$D$8,$V421)+$G422)</f>
        <v/>
      </c>
      <c r="W422" s="47" t="str">
        <f aca="false">IF($V422="","",MAX(IF($W421="",'Empieza aquí'!$D$8,$W421),$V422))</f>
        <v/>
      </c>
      <c r="X422" s="47" t="str">
        <f aca="false">IF($V422="","",$V422-$W422)</f>
        <v/>
      </c>
      <c r="Y422" s="3"/>
      <c r="Z422" s="3"/>
      <c r="AA422" s="3"/>
      <c r="AB422" s="3"/>
      <c r="AC422" s="3"/>
      <c r="AD422" s="3"/>
      <c r="AE422" s="3"/>
      <c r="AF422" s="3"/>
      <c r="AG422" s="3"/>
      <c r="AH422" s="3"/>
    </row>
    <row r="423" customFormat="false" ht="15" hidden="false" customHeight="true" outlineLevel="0" collapsed="false">
      <c r="A423" s="2"/>
      <c r="B423" s="36"/>
      <c r="C423" s="37"/>
      <c r="D423" s="37"/>
      <c r="E423" s="38"/>
      <c r="F423" s="39"/>
      <c r="G423" s="40" t="str">
        <f aca="false">IF(OR($E423="",$C423="",$D423=""),"",$E423*$D423*IFERROR(INDEX(Listas!$C$6:$C$20,MATCH($C423,Listas!$B$6:$B$20,0)),0)-$D423*IFERROR(INDEX(Listas!$D$6:$D$20,MATCH($C423,Listas!$B$6:$B$20,0)),0))</f>
        <v/>
      </c>
      <c r="H423" s="41" t="str">
        <f aca="false">IF(OR($F423="",$C423="",$D423=""),"",ABS($F423)*$D423*IFERROR(INDEX(Listas!$C$6:$C$20,MATCH($C423,Listas!$B$6:$B$20,0)),0))</f>
        <v/>
      </c>
      <c r="I423" s="42" t="str">
        <f aca="false">IF(OR($E423="",$F423="",$F423=0),"",$E423/ABS($F423))</f>
        <v/>
      </c>
      <c r="J423" s="43" t="str">
        <f aca="false">IF($B423="","",INDEX(Listas!$G$6:$G$12,WEEKDAY($B423,1)))</f>
        <v/>
      </c>
      <c r="K423" s="43" t="str">
        <f aca="false">IFERROR(IF($L423="","",TEXT(IF($L423&lt;1,HOUR($L423),INT($L423)),"00")&amp;":00"),"")</f>
        <v/>
      </c>
      <c r="L423" s="44"/>
      <c r="M423" s="45"/>
      <c r="N423" s="46"/>
      <c r="O423" s="45"/>
      <c r="P423" s="2"/>
      <c r="Q423" s="2"/>
      <c r="R423" s="2"/>
      <c r="S423" s="2"/>
      <c r="T423" s="2"/>
      <c r="U423" s="47" t="str">
        <f aca="false">IF($G423="","",IF($G423&lt;0,IF(N($U422)=0,1,$U422+1),0))</f>
        <v/>
      </c>
      <c r="V423" s="47" t="str">
        <f aca="false">IF($G423="","",IF($V422="",'Empieza aquí'!$D$8,$V422)+$G423)</f>
        <v/>
      </c>
      <c r="W423" s="47" t="str">
        <f aca="false">IF($V423="","",MAX(IF($W422="",'Empieza aquí'!$D$8,$W422),$V423))</f>
        <v/>
      </c>
      <c r="X423" s="47" t="str">
        <f aca="false">IF($V423="","",$V423-$W423)</f>
        <v/>
      </c>
      <c r="Y423" s="3"/>
      <c r="Z423" s="3"/>
      <c r="AA423" s="3"/>
      <c r="AB423" s="3"/>
      <c r="AC423" s="3"/>
      <c r="AD423" s="3"/>
      <c r="AE423" s="3"/>
      <c r="AF423" s="3"/>
      <c r="AG423" s="3"/>
      <c r="AH423" s="3"/>
    </row>
    <row r="424" customFormat="false" ht="15" hidden="false" customHeight="true" outlineLevel="0" collapsed="false">
      <c r="A424" s="2"/>
      <c r="B424" s="36"/>
      <c r="C424" s="37"/>
      <c r="D424" s="37"/>
      <c r="E424" s="38"/>
      <c r="F424" s="39"/>
      <c r="G424" s="40" t="str">
        <f aca="false">IF(OR($E424="",$C424="",$D424=""),"",$E424*$D424*IFERROR(INDEX(Listas!$C$6:$C$20,MATCH($C424,Listas!$B$6:$B$20,0)),0)-$D424*IFERROR(INDEX(Listas!$D$6:$D$20,MATCH($C424,Listas!$B$6:$B$20,0)),0))</f>
        <v/>
      </c>
      <c r="H424" s="41" t="str">
        <f aca="false">IF(OR($F424="",$C424="",$D424=""),"",ABS($F424)*$D424*IFERROR(INDEX(Listas!$C$6:$C$20,MATCH($C424,Listas!$B$6:$B$20,0)),0))</f>
        <v/>
      </c>
      <c r="I424" s="42" t="str">
        <f aca="false">IF(OR($E424="",$F424="",$F424=0),"",$E424/ABS($F424))</f>
        <v/>
      </c>
      <c r="J424" s="43" t="str">
        <f aca="false">IF($B424="","",INDEX(Listas!$G$6:$G$12,WEEKDAY($B424,1)))</f>
        <v/>
      </c>
      <c r="K424" s="43" t="str">
        <f aca="false">IFERROR(IF($L424="","",TEXT(IF($L424&lt;1,HOUR($L424),INT($L424)),"00")&amp;":00"),"")</f>
        <v/>
      </c>
      <c r="L424" s="44"/>
      <c r="M424" s="45"/>
      <c r="N424" s="46"/>
      <c r="O424" s="45"/>
      <c r="P424" s="2"/>
      <c r="Q424" s="2"/>
      <c r="R424" s="2"/>
      <c r="S424" s="2"/>
      <c r="T424" s="2"/>
      <c r="U424" s="47" t="str">
        <f aca="false">IF($G424="","",IF($G424&lt;0,IF(N($U423)=0,1,$U423+1),0))</f>
        <v/>
      </c>
      <c r="V424" s="47" t="str">
        <f aca="false">IF($G424="","",IF($V423="",'Empieza aquí'!$D$8,$V423)+$G424)</f>
        <v/>
      </c>
      <c r="W424" s="47" t="str">
        <f aca="false">IF($V424="","",MAX(IF($W423="",'Empieza aquí'!$D$8,$W423),$V424))</f>
        <v/>
      </c>
      <c r="X424" s="47" t="str">
        <f aca="false">IF($V424="","",$V424-$W424)</f>
        <v/>
      </c>
      <c r="Y424" s="3"/>
      <c r="Z424" s="3"/>
      <c r="AA424" s="3"/>
      <c r="AB424" s="3"/>
      <c r="AC424" s="3"/>
      <c r="AD424" s="3"/>
      <c r="AE424" s="3"/>
      <c r="AF424" s="3"/>
      <c r="AG424" s="3"/>
      <c r="AH424" s="3"/>
    </row>
    <row r="425" customFormat="false" ht="15" hidden="false" customHeight="true" outlineLevel="0" collapsed="false">
      <c r="A425" s="2"/>
      <c r="B425" s="36"/>
      <c r="C425" s="37"/>
      <c r="D425" s="37"/>
      <c r="E425" s="38"/>
      <c r="F425" s="39"/>
      <c r="G425" s="40" t="str">
        <f aca="false">IF(OR($E425="",$C425="",$D425=""),"",$E425*$D425*IFERROR(INDEX(Listas!$C$6:$C$20,MATCH($C425,Listas!$B$6:$B$20,0)),0)-$D425*IFERROR(INDEX(Listas!$D$6:$D$20,MATCH($C425,Listas!$B$6:$B$20,0)),0))</f>
        <v/>
      </c>
      <c r="H425" s="41" t="str">
        <f aca="false">IF(OR($F425="",$C425="",$D425=""),"",ABS($F425)*$D425*IFERROR(INDEX(Listas!$C$6:$C$20,MATCH($C425,Listas!$B$6:$B$20,0)),0))</f>
        <v/>
      </c>
      <c r="I425" s="42" t="str">
        <f aca="false">IF(OR($E425="",$F425="",$F425=0),"",$E425/ABS($F425))</f>
        <v/>
      </c>
      <c r="J425" s="43" t="str">
        <f aca="false">IF($B425="","",INDEX(Listas!$G$6:$G$12,WEEKDAY($B425,1)))</f>
        <v/>
      </c>
      <c r="K425" s="43" t="str">
        <f aca="false">IFERROR(IF($L425="","",TEXT(IF($L425&lt;1,HOUR($L425),INT($L425)),"00")&amp;":00"),"")</f>
        <v/>
      </c>
      <c r="L425" s="44"/>
      <c r="M425" s="45"/>
      <c r="N425" s="46"/>
      <c r="O425" s="45"/>
      <c r="P425" s="2"/>
      <c r="Q425" s="2"/>
      <c r="R425" s="2"/>
      <c r="S425" s="2"/>
      <c r="T425" s="2"/>
      <c r="U425" s="47" t="str">
        <f aca="false">IF($G425="","",IF($G425&lt;0,IF(N($U424)=0,1,$U424+1),0))</f>
        <v/>
      </c>
      <c r="V425" s="47" t="str">
        <f aca="false">IF($G425="","",IF($V424="",'Empieza aquí'!$D$8,$V424)+$G425)</f>
        <v/>
      </c>
      <c r="W425" s="47" t="str">
        <f aca="false">IF($V425="","",MAX(IF($W424="",'Empieza aquí'!$D$8,$W424),$V425))</f>
        <v/>
      </c>
      <c r="X425" s="47" t="str">
        <f aca="false">IF($V425="","",$V425-$W425)</f>
        <v/>
      </c>
      <c r="Y425" s="3"/>
      <c r="Z425" s="3"/>
      <c r="AA425" s="3"/>
      <c r="AB425" s="3"/>
      <c r="AC425" s="3"/>
      <c r="AD425" s="3"/>
      <c r="AE425" s="3"/>
      <c r="AF425" s="3"/>
      <c r="AG425" s="3"/>
      <c r="AH425" s="3"/>
    </row>
    <row r="426" customFormat="false" ht="15" hidden="false" customHeight="true" outlineLevel="0" collapsed="false">
      <c r="A426" s="2"/>
      <c r="B426" s="36"/>
      <c r="C426" s="37"/>
      <c r="D426" s="37"/>
      <c r="E426" s="38"/>
      <c r="F426" s="39"/>
      <c r="G426" s="40" t="str">
        <f aca="false">IF(OR($E426="",$C426="",$D426=""),"",$E426*$D426*IFERROR(INDEX(Listas!$C$6:$C$20,MATCH($C426,Listas!$B$6:$B$20,0)),0)-$D426*IFERROR(INDEX(Listas!$D$6:$D$20,MATCH($C426,Listas!$B$6:$B$20,0)),0))</f>
        <v/>
      </c>
      <c r="H426" s="41" t="str">
        <f aca="false">IF(OR($F426="",$C426="",$D426=""),"",ABS($F426)*$D426*IFERROR(INDEX(Listas!$C$6:$C$20,MATCH($C426,Listas!$B$6:$B$20,0)),0))</f>
        <v/>
      </c>
      <c r="I426" s="42" t="str">
        <f aca="false">IF(OR($E426="",$F426="",$F426=0),"",$E426/ABS($F426))</f>
        <v/>
      </c>
      <c r="J426" s="43" t="str">
        <f aca="false">IF($B426="","",INDEX(Listas!$G$6:$G$12,WEEKDAY($B426,1)))</f>
        <v/>
      </c>
      <c r="K426" s="43" t="str">
        <f aca="false">IFERROR(IF($L426="","",TEXT(IF($L426&lt;1,HOUR($L426),INT($L426)),"00")&amp;":00"),"")</f>
        <v/>
      </c>
      <c r="L426" s="44"/>
      <c r="M426" s="45"/>
      <c r="N426" s="46"/>
      <c r="O426" s="45"/>
      <c r="P426" s="2"/>
      <c r="Q426" s="2"/>
      <c r="R426" s="2"/>
      <c r="S426" s="2"/>
      <c r="T426" s="2"/>
      <c r="U426" s="47" t="str">
        <f aca="false">IF($G426="","",IF($G426&lt;0,IF(N($U425)=0,1,$U425+1),0))</f>
        <v/>
      </c>
      <c r="V426" s="47" t="str">
        <f aca="false">IF($G426="","",IF($V425="",'Empieza aquí'!$D$8,$V425)+$G426)</f>
        <v/>
      </c>
      <c r="W426" s="47" t="str">
        <f aca="false">IF($V426="","",MAX(IF($W425="",'Empieza aquí'!$D$8,$W425),$V426))</f>
        <v/>
      </c>
      <c r="X426" s="47" t="str">
        <f aca="false">IF($V426="","",$V426-$W426)</f>
        <v/>
      </c>
      <c r="Y426" s="3"/>
      <c r="Z426" s="3"/>
      <c r="AA426" s="3"/>
      <c r="AB426" s="3"/>
      <c r="AC426" s="3"/>
      <c r="AD426" s="3"/>
      <c r="AE426" s="3"/>
      <c r="AF426" s="3"/>
      <c r="AG426" s="3"/>
      <c r="AH426" s="3"/>
    </row>
    <row r="427" customFormat="false" ht="15" hidden="false" customHeight="true" outlineLevel="0" collapsed="false">
      <c r="A427" s="2"/>
      <c r="B427" s="36"/>
      <c r="C427" s="37"/>
      <c r="D427" s="37"/>
      <c r="E427" s="38"/>
      <c r="F427" s="39"/>
      <c r="G427" s="40" t="str">
        <f aca="false">IF(OR($E427="",$C427="",$D427=""),"",$E427*$D427*IFERROR(INDEX(Listas!$C$6:$C$20,MATCH($C427,Listas!$B$6:$B$20,0)),0)-$D427*IFERROR(INDEX(Listas!$D$6:$D$20,MATCH($C427,Listas!$B$6:$B$20,0)),0))</f>
        <v/>
      </c>
      <c r="H427" s="41" t="str">
        <f aca="false">IF(OR($F427="",$C427="",$D427=""),"",ABS($F427)*$D427*IFERROR(INDEX(Listas!$C$6:$C$20,MATCH($C427,Listas!$B$6:$B$20,0)),0))</f>
        <v/>
      </c>
      <c r="I427" s="42" t="str">
        <f aca="false">IF(OR($E427="",$F427="",$F427=0),"",$E427/ABS($F427))</f>
        <v/>
      </c>
      <c r="J427" s="43" t="str">
        <f aca="false">IF($B427="","",INDEX(Listas!$G$6:$G$12,WEEKDAY($B427,1)))</f>
        <v/>
      </c>
      <c r="K427" s="43" t="str">
        <f aca="false">IFERROR(IF($L427="","",TEXT(IF($L427&lt;1,HOUR($L427),INT($L427)),"00")&amp;":00"),"")</f>
        <v/>
      </c>
      <c r="L427" s="44"/>
      <c r="M427" s="45"/>
      <c r="N427" s="46"/>
      <c r="O427" s="45"/>
      <c r="P427" s="2"/>
      <c r="Q427" s="2"/>
      <c r="R427" s="2"/>
      <c r="S427" s="2"/>
      <c r="T427" s="2"/>
      <c r="U427" s="47" t="str">
        <f aca="false">IF($G427="","",IF($G427&lt;0,IF(N($U426)=0,1,$U426+1),0))</f>
        <v/>
      </c>
      <c r="V427" s="47" t="str">
        <f aca="false">IF($G427="","",IF($V426="",'Empieza aquí'!$D$8,$V426)+$G427)</f>
        <v/>
      </c>
      <c r="W427" s="47" t="str">
        <f aca="false">IF($V427="","",MAX(IF($W426="",'Empieza aquí'!$D$8,$W426),$V427))</f>
        <v/>
      </c>
      <c r="X427" s="47" t="str">
        <f aca="false">IF($V427="","",$V427-$W427)</f>
        <v/>
      </c>
      <c r="Y427" s="3"/>
      <c r="Z427" s="3"/>
      <c r="AA427" s="3"/>
      <c r="AB427" s="3"/>
      <c r="AC427" s="3"/>
      <c r="AD427" s="3"/>
      <c r="AE427" s="3"/>
      <c r="AF427" s="3"/>
      <c r="AG427" s="3"/>
      <c r="AH427" s="3"/>
    </row>
    <row r="428" customFormat="false" ht="15" hidden="false" customHeight="true" outlineLevel="0" collapsed="false">
      <c r="A428" s="2"/>
      <c r="B428" s="36"/>
      <c r="C428" s="37"/>
      <c r="D428" s="37"/>
      <c r="E428" s="38"/>
      <c r="F428" s="39"/>
      <c r="G428" s="40" t="str">
        <f aca="false">IF(OR($E428="",$C428="",$D428=""),"",$E428*$D428*IFERROR(INDEX(Listas!$C$6:$C$20,MATCH($C428,Listas!$B$6:$B$20,0)),0)-$D428*IFERROR(INDEX(Listas!$D$6:$D$20,MATCH($C428,Listas!$B$6:$B$20,0)),0))</f>
        <v/>
      </c>
      <c r="H428" s="41" t="str">
        <f aca="false">IF(OR($F428="",$C428="",$D428=""),"",ABS($F428)*$D428*IFERROR(INDEX(Listas!$C$6:$C$20,MATCH($C428,Listas!$B$6:$B$20,0)),0))</f>
        <v/>
      </c>
      <c r="I428" s="42" t="str">
        <f aca="false">IF(OR($E428="",$F428="",$F428=0),"",$E428/ABS($F428))</f>
        <v/>
      </c>
      <c r="J428" s="43" t="str">
        <f aca="false">IF($B428="","",INDEX(Listas!$G$6:$G$12,WEEKDAY($B428,1)))</f>
        <v/>
      </c>
      <c r="K428" s="43" t="str">
        <f aca="false">IFERROR(IF($L428="","",TEXT(IF($L428&lt;1,HOUR($L428),INT($L428)),"00")&amp;":00"),"")</f>
        <v/>
      </c>
      <c r="L428" s="44"/>
      <c r="M428" s="45"/>
      <c r="N428" s="46"/>
      <c r="O428" s="45"/>
      <c r="P428" s="2"/>
      <c r="Q428" s="2"/>
      <c r="R428" s="2"/>
      <c r="S428" s="2"/>
      <c r="T428" s="2"/>
      <c r="U428" s="47" t="str">
        <f aca="false">IF($G428="","",IF($G428&lt;0,IF(N($U427)=0,1,$U427+1),0))</f>
        <v/>
      </c>
      <c r="V428" s="47" t="str">
        <f aca="false">IF($G428="","",IF($V427="",'Empieza aquí'!$D$8,$V427)+$G428)</f>
        <v/>
      </c>
      <c r="W428" s="47" t="str">
        <f aca="false">IF($V428="","",MAX(IF($W427="",'Empieza aquí'!$D$8,$W427),$V428))</f>
        <v/>
      </c>
      <c r="X428" s="47" t="str">
        <f aca="false">IF($V428="","",$V428-$W428)</f>
        <v/>
      </c>
      <c r="Y428" s="3"/>
      <c r="Z428" s="3"/>
      <c r="AA428" s="3"/>
      <c r="AB428" s="3"/>
      <c r="AC428" s="3"/>
      <c r="AD428" s="3"/>
      <c r="AE428" s="3"/>
      <c r="AF428" s="3"/>
      <c r="AG428" s="3"/>
      <c r="AH428" s="3"/>
    </row>
    <row r="429" customFormat="false" ht="15" hidden="false" customHeight="true" outlineLevel="0" collapsed="false">
      <c r="A429" s="2"/>
      <c r="B429" s="36"/>
      <c r="C429" s="37"/>
      <c r="D429" s="37"/>
      <c r="E429" s="38"/>
      <c r="F429" s="39"/>
      <c r="G429" s="40" t="str">
        <f aca="false">IF(OR($E429="",$C429="",$D429=""),"",$E429*$D429*IFERROR(INDEX(Listas!$C$6:$C$20,MATCH($C429,Listas!$B$6:$B$20,0)),0)-$D429*IFERROR(INDEX(Listas!$D$6:$D$20,MATCH($C429,Listas!$B$6:$B$20,0)),0))</f>
        <v/>
      </c>
      <c r="H429" s="41" t="str">
        <f aca="false">IF(OR($F429="",$C429="",$D429=""),"",ABS($F429)*$D429*IFERROR(INDEX(Listas!$C$6:$C$20,MATCH($C429,Listas!$B$6:$B$20,0)),0))</f>
        <v/>
      </c>
      <c r="I429" s="42" t="str">
        <f aca="false">IF(OR($E429="",$F429="",$F429=0),"",$E429/ABS($F429))</f>
        <v/>
      </c>
      <c r="J429" s="43" t="str">
        <f aca="false">IF($B429="","",INDEX(Listas!$G$6:$G$12,WEEKDAY($B429,1)))</f>
        <v/>
      </c>
      <c r="K429" s="43" t="str">
        <f aca="false">IFERROR(IF($L429="","",TEXT(IF($L429&lt;1,HOUR($L429),INT($L429)),"00")&amp;":00"),"")</f>
        <v/>
      </c>
      <c r="L429" s="44"/>
      <c r="M429" s="45"/>
      <c r="N429" s="46"/>
      <c r="O429" s="45"/>
      <c r="P429" s="2"/>
      <c r="Q429" s="2"/>
      <c r="R429" s="2"/>
      <c r="S429" s="2"/>
      <c r="T429" s="2"/>
      <c r="U429" s="47" t="str">
        <f aca="false">IF($G429="","",IF($G429&lt;0,IF(N($U428)=0,1,$U428+1),0))</f>
        <v/>
      </c>
      <c r="V429" s="47" t="str">
        <f aca="false">IF($G429="","",IF($V428="",'Empieza aquí'!$D$8,$V428)+$G429)</f>
        <v/>
      </c>
      <c r="W429" s="47" t="str">
        <f aca="false">IF($V429="","",MAX(IF($W428="",'Empieza aquí'!$D$8,$W428),$V429))</f>
        <v/>
      </c>
      <c r="X429" s="47" t="str">
        <f aca="false">IF($V429="","",$V429-$W429)</f>
        <v/>
      </c>
      <c r="Y429" s="3"/>
      <c r="Z429" s="3"/>
      <c r="AA429" s="3"/>
      <c r="AB429" s="3"/>
      <c r="AC429" s="3"/>
      <c r="AD429" s="3"/>
      <c r="AE429" s="3"/>
      <c r="AF429" s="3"/>
      <c r="AG429" s="3"/>
      <c r="AH429" s="3"/>
    </row>
    <row r="430" customFormat="false" ht="15" hidden="false" customHeight="true" outlineLevel="0" collapsed="false">
      <c r="A430" s="2"/>
      <c r="B430" s="36"/>
      <c r="C430" s="37"/>
      <c r="D430" s="37"/>
      <c r="E430" s="38"/>
      <c r="F430" s="39"/>
      <c r="G430" s="40" t="str">
        <f aca="false">IF(OR($E430="",$C430="",$D430=""),"",$E430*$D430*IFERROR(INDEX(Listas!$C$6:$C$20,MATCH($C430,Listas!$B$6:$B$20,0)),0)-$D430*IFERROR(INDEX(Listas!$D$6:$D$20,MATCH($C430,Listas!$B$6:$B$20,0)),0))</f>
        <v/>
      </c>
      <c r="H430" s="41" t="str">
        <f aca="false">IF(OR($F430="",$C430="",$D430=""),"",ABS($F430)*$D430*IFERROR(INDEX(Listas!$C$6:$C$20,MATCH($C430,Listas!$B$6:$B$20,0)),0))</f>
        <v/>
      </c>
      <c r="I430" s="42" t="str">
        <f aca="false">IF(OR($E430="",$F430="",$F430=0),"",$E430/ABS($F430))</f>
        <v/>
      </c>
      <c r="J430" s="43" t="str">
        <f aca="false">IF($B430="","",INDEX(Listas!$G$6:$G$12,WEEKDAY($B430,1)))</f>
        <v/>
      </c>
      <c r="K430" s="43" t="str">
        <f aca="false">IFERROR(IF($L430="","",TEXT(IF($L430&lt;1,HOUR($L430),INT($L430)),"00")&amp;":00"),"")</f>
        <v/>
      </c>
      <c r="L430" s="44"/>
      <c r="M430" s="45"/>
      <c r="N430" s="46"/>
      <c r="O430" s="45"/>
      <c r="P430" s="2"/>
      <c r="Q430" s="2"/>
      <c r="R430" s="2"/>
      <c r="S430" s="2"/>
      <c r="T430" s="2"/>
      <c r="U430" s="47" t="str">
        <f aca="false">IF($G430="","",IF($G430&lt;0,IF(N($U429)=0,1,$U429+1),0))</f>
        <v/>
      </c>
      <c r="V430" s="47" t="str">
        <f aca="false">IF($G430="","",IF($V429="",'Empieza aquí'!$D$8,$V429)+$G430)</f>
        <v/>
      </c>
      <c r="W430" s="47" t="str">
        <f aca="false">IF($V430="","",MAX(IF($W429="",'Empieza aquí'!$D$8,$W429),$V430))</f>
        <v/>
      </c>
      <c r="X430" s="47" t="str">
        <f aca="false">IF($V430="","",$V430-$W430)</f>
        <v/>
      </c>
      <c r="Y430" s="3"/>
      <c r="Z430" s="3"/>
      <c r="AA430" s="3"/>
      <c r="AB430" s="3"/>
      <c r="AC430" s="3"/>
      <c r="AD430" s="3"/>
      <c r="AE430" s="3"/>
      <c r="AF430" s="3"/>
      <c r="AG430" s="3"/>
      <c r="AH430" s="3"/>
    </row>
    <row r="431" customFormat="false" ht="15" hidden="false" customHeight="true" outlineLevel="0" collapsed="false">
      <c r="A431" s="2"/>
      <c r="B431" s="36"/>
      <c r="C431" s="37"/>
      <c r="D431" s="37"/>
      <c r="E431" s="38"/>
      <c r="F431" s="39"/>
      <c r="G431" s="40" t="str">
        <f aca="false">IF(OR($E431="",$C431="",$D431=""),"",$E431*$D431*IFERROR(INDEX(Listas!$C$6:$C$20,MATCH($C431,Listas!$B$6:$B$20,0)),0)-$D431*IFERROR(INDEX(Listas!$D$6:$D$20,MATCH($C431,Listas!$B$6:$B$20,0)),0))</f>
        <v/>
      </c>
      <c r="H431" s="41" t="str">
        <f aca="false">IF(OR($F431="",$C431="",$D431=""),"",ABS($F431)*$D431*IFERROR(INDEX(Listas!$C$6:$C$20,MATCH($C431,Listas!$B$6:$B$20,0)),0))</f>
        <v/>
      </c>
      <c r="I431" s="42" t="str">
        <f aca="false">IF(OR($E431="",$F431="",$F431=0),"",$E431/ABS($F431))</f>
        <v/>
      </c>
      <c r="J431" s="43" t="str">
        <f aca="false">IF($B431="","",INDEX(Listas!$G$6:$G$12,WEEKDAY($B431,1)))</f>
        <v/>
      </c>
      <c r="K431" s="43" t="str">
        <f aca="false">IFERROR(IF($L431="","",TEXT(IF($L431&lt;1,HOUR($L431),INT($L431)),"00")&amp;":00"),"")</f>
        <v/>
      </c>
      <c r="L431" s="44"/>
      <c r="M431" s="45"/>
      <c r="N431" s="46"/>
      <c r="O431" s="45"/>
      <c r="P431" s="2"/>
      <c r="Q431" s="2"/>
      <c r="R431" s="2"/>
      <c r="S431" s="2"/>
      <c r="T431" s="2"/>
      <c r="U431" s="47" t="str">
        <f aca="false">IF($G431="","",IF($G431&lt;0,IF(N($U430)=0,1,$U430+1),0))</f>
        <v/>
      </c>
      <c r="V431" s="47" t="str">
        <f aca="false">IF($G431="","",IF($V430="",'Empieza aquí'!$D$8,$V430)+$G431)</f>
        <v/>
      </c>
      <c r="W431" s="47" t="str">
        <f aca="false">IF($V431="","",MAX(IF($W430="",'Empieza aquí'!$D$8,$W430),$V431))</f>
        <v/>
      </c>
      <c r="X431" s="47" t="str">
        <f aca="false">IF($V431="","",$V431-$W431)</f>
        <v/>
      </c>
      <c r="Y431" s="3"/>
      <c r="Z431" s="3"/>
      <c r="AA431" s="3"/>
      <c r="AB431" s="3"/>
      <c r="AC431" s="3"/>
      <c r="AD431" s="3"/>
      <c r="AE431" s="3"/>
      <c r="AF431" s="3"/>
      <c r="AG431" s="3"/>
      <c r="AH431" s="3"/>
    </row>
    <row r="432" customFormat="false" ht="15" hidden="false" customHeight="true" outlineLevel="0" collapsed="false">
      <c r="A432" s="2"/>
      <c r="B432" s="36"/>
      <c r="C432" s="37"/>
      <c r="D432" s="37"/>
      <c r="E432" s="38"/>
      <c r="F432" s="39"/>
      <c r="G432" s="40" t="str">
        <f aca="false">IF(OR($E432="",$C432="",$D432=""),"",$E432*$D432*IFERROR(INDEX(Listas!$C$6:$C$20,MATCH($C432,Listas!$B$6:$B$20,0)),0)-$D432*IFERROR(INDEX(Listas!$D$6:$D$20,MATCH($C432,Listas!$B$6:$B$20,0)),0))</f>
        <v/>
      </c>
      <c r="H432" s="41" t="str">
        <f aca="false">IF(OR($F432="",$C432="",$D432=""),"",ABS($F432)*$D432*IFERROR(INDEX(Listas!$C$6:$C$20,MATCH($C432,Listas!$B$6:$B$20,0)),0))</f>
        <v/>
      </c>
      <c r="I432" s="42" t="str">
        <f aca="false">IF(OR($E432="",$F432="",$F432=0),"",$E432/ABS($F432))</f>
        <v/>
      </c>
      <c r="J432" s="43" t="str">
        <f aca="false">IF($B432="","",INDEX(Listas!$G$6:$G$12,WEEKDAY($B432,1)))</f>
        <v/>
      </c>
      <c r="K432" s="43" t="str">
        <f aca="false">IFERROR(IF($L432="","",TEXT(IF($L432&lt;1,HOUR($L432),INT($L432)),"00")&amp;":00"),"")</f>
        <v/>
      </c>
      <c r="L432" s="44"/>
      <c r="M432" s="45"/>
      <c r="N432" s="46"/>
      <c r="O432" s="45"/>
      <c r="P432" s="2"/>
      <c r="Q432" s="2"/>
      <c r="R432" s="2"/>
      <c r="S432" s="2"/>
      <c r="T432" s="2"/>
      <c r="U432" s="47" t="str">
        <f aca="false">IF($G432="","",IF($G432&lt;0,IF(N($U431)=0,1,$U431+1),0))</f>
        <v/>
      </c>
      <c r="V432" s="47" t="str">
        <f aca="false">IF($G432="","",IF($V431="",'Empieza aquí'!$D$8,$V431)+$G432)</f>
        <v/>
      </c>
      <c r="W432" s="47" t="str">
        <f aca="false">IF($V432="","",MAX(IF($W431="",'Empieza aquí'!$D$8,$W431),$V432))</f>
        <v/>
      </c>
      <c r="X432" s="47" t="str">
        <f aca="false">IF($V432="","",$V432-$W432)</f>
        <v/>
      </c>
      <c r="Y432" s="3"/>
      <c r="Z432" s="3"/>
      <c r="AA432" s="3"/>
      <c r="AB432" s="3"/>
      <c r="AC432" s="3"/>
      <c r="AD432" s="3"/>
      <c r="AE432" s="3"/>
      <c r="AF432" s="3"/>
      <c r="AG432" s="3"/>
      <c r="AH432" s="3"/>
    </row>
    <row r="433" customFormat="false" ht="15" hidden="false" customHeight="true" outlineLevel="0" collapsed="false">
      <c r="A433" s="2"/>
      <c r="B433" s="36"/>
      <c r="C433" s="37"/>
      <c r="D433" s="37"/>
      <c r="E433" s="38"/>
      <c r="F433" s="39"/>
      <c r="G433" s="40" t="str">
        <f aca="false">IF(OR($E433="",$C433="",$D433=""),"",$E433*$D433*IFERROR(INDEX(Listas!$C$6:$C$20,MATCH($C433,Listas!$B$6:$B$20,0)),0)-$D433*IFERROR(INDEX(Listas!$D$6:$D$20,MATCH($C433,Listas!$B$6:$B$20,0)),0))</f>
        <v/>
      </c>
      <c r="H433" s="41" t="str">
        <f aca="false">IF(OR($F433="",$C433="",$D433=""),"",ABS($F433)*$D433*IFERROR(INDEX(Listas!$C$6:$C$20,MATCH($C433,Listas!$B$6:$B$20,0)),0))</f>
        <v/>
      </c>
      <c r="I433" s="42" t="str">
        <f aca="false">IF(OR($E433="",$F433="",$F433=0),"",$E433/ABS($F433))</f>
        <v/>
      </c>
      <c r="J433" s="43" t="str">
        <f aca="false">IF($B433="","",INDEX(Listas!$G$6:$G$12,WEEKDAY($B433,1)))</f>
        <v/>
      </c>
      <c r="K433" s="43" t="str">
        <f aca="false">IFERROR(IF($L433="","",TEXT(IF($L433&lt;1,HOUR($L433),INT($L433)),"00")&amp;":00"),"")</f>
        <v/>
      </c>
      <c r="L433" s="44"/>
      <c r="M433" s="45"/>
      <c r="N433" s="46"/>
      <c r="O433" s="45"/>
      <c r="P433" s="2"/>
      <c r="Q433" s="2"/>
      <c r="R433" s="2"/>
      <c r="S433" s="2"/>
      <c r="T433" s="2"/>
      <c r="U433" s="47" t="str">
        <f aca="false">IF($G433="","",IF($G433&lt;0,IF(N($U432)=0,1,$U432+1),0))</f>
        <v/>
      </c>
      <c r="V433" s="47" t="str">
        <f aca="false">IF($G433="","",IF($V432="",'Empieza aquí'!$D$8,$V432)+$G433)</f>
        <v/>
      </c>
      <c r="W433" s="47" t="str">
        <f aca="false">IF($V433="","",MAX(IF($W432="",'Empieza aquí'!$D$8,$W432),$V433))</f>
        <v/>
      </c>
      <c r="X433" s="47" t="str">
        <f aca="false">IF($V433="","",$V433-$W433)</f>
        <v/>
      </c>
      <c r="Y433" s="3"/>
      <c r="Z433" s="3"/>
      <c r="AA433" s="3"/>
      <c r="AB433" s="3"/>
      <c r="AC433" s="3"/>
      <c r="AD433" s="3"/>
      <c r="AE433" s="3"/>
      <c r="AF433" s="3"/>
      <c r="AG433" s="3"/>
      <c r="AH433" s="3"/>
    </row>
    <row r="434" customFormat="false" ht="15" hidden="false" customHeight="true" outlineLevel="0" collapsed="false">
      <c r="A434" s="2"/>
      <c r="B434" s="36"/>
      <c r="C434" s="37"/>
      <c r="D434" s="37"/>
      <c r="E434" s="38"/>
      <c r="F434" s="39"/>
      <c r="G434" s="40" t="str">
        <f aca="false">IF(OR($E434="",$C434="",$D434=""),"",$E434*$D434*IFERROR(INDEX(Listas!$C$6:$C$20,MATCH($C434,Listas!$B$6:$B$20,0)),0)-$D434*IFERROR(INDEX(Listas!$D$6:$D$20,MATCH($C434,Listas!$B$6:$B$20,0)),0))</f>
        <v/>
      </c>
      <c r="H434" s="41" t="str">
        <f aca="false">IF(OR($F434="",$C434="",$D434=""),"",ABS($F434)*$D434*IFERROR(INDEX(Listas!$C$6:$C$20,MATCH($C434,Listas!$B$6:$B$20,0)),0))</f>
        <v/>
      </c>
      <c r="I434" s="42" t="str">
        <f aca="false">IF(OR($E434="",$F434="",$F434=0),"",$E434/ABS($F434))</f>
        <v/>
      </c>
      <c r="J434" s="43" t="str">
        <f aca="false">IF($B434="","",INDEX(Listas!$G$6:$G$12,WEEKDAY($B434,1)))</f>
        <v/>
      </c>
      <c r="K434" s="43" t="str">
        <f aca="false">IFERROR(IF($L434="","",TEXT(IF($L434&lt;1,HOUR($L434),INT($L434)),"00")&amp;":00"),"")</f>
        <v/>
      </c>
      <c r="L434" s="44"/>
      <c r="M434" s="45"/>
      <c r="N434" s="46"/>
      <c r="O434" s="45"/>
      <c r="P434" s="2"/>
      <c r="Q434" s="2"/>
      <c r="R434" s="2"/>
      <c r="S434" s="2"/>
      <c r="T434" s="2"/>
      <c r="U434" s="47" t="str">
        <f aca="false">IF($G434="","",IF($G434&lt;0,IF(N($U433)=0,1,$U433+1),0))</f>
        <v/>
      </c>
      <c r="V434" s="47" t="str">
        <f aca="false">IF($G434="","",IF($V433="",'Empieza aquí'!$D$8,$V433)+$G434)</f>
        <v/>
      </c>
      <c r="W434" s="47" t="str">
        <f aca="false">IF($V434="","",MAX(IF($W433="",'Empieza aquí'!$D$8,$W433),$V434))</f>
        <v/>
      </c>
      <c r="X434" s="47" t="str">
        <f aca="false">IF($V434="","",$V434-$W434)</f>
        <v/>
      </c>
      <c r="Y434" s="3"/>
      <c r="Z434" s="3"/>
      <c r="AA434" s="3"/>
      <c r="AB434" s="3"/>
      <c r="AC434" s="3"/>
      <c r="AD434" s="3"/>
      <c r="AE434" s="3"/>
      <c r="AF434" s="3"/>
      <c r="AG434" s="3"/>
      <c r="AH434" s="3"/>
    </row>
    <row r="435" customFormat="false" ht="15" hidden="false" customHeight="true" outlineLevel="0" collapsed="false">
      <c r="A435" s="2"/>
      <c r="B435" s="36"/>
      <c r="C435" s="37"/>
      <c r="D435" s="37"/>
      <c r="E435" s="38"/>
      <c r="F435" s="39"/>
      <c r="G435" s="40" t="str">
        <f aca="false">IF(OR($E435="",$C435="",$D435=""),"",$E435*$D435*IFERROR(INDEX(Listas!$C$6:$C$20,MATCH($C435,Listas!$B$6:$B$20,0)),0)-$D435*IFERROR(INDEX(Listas!$D$6:$D$20,MATCH($C435,Listas!$B$6:$B$20,0)),0))</f>
        <v/>
      </c>
      <c r="H435" s="41" t="str">
        <f aca="false">IF(OR($F435="",$C435="",$D435=""),"",ABS($F435)*$D435*IFERROR(INDEX(Listas!$C$6:$C$20,MATCH($C435,Listas!$B$6:$B$20,0)),0))</f>
        <v/>
      </c>
      <c r="I435" s="42" t="str">
        <f aca="false">IF(OR($E435="",$F435="",$F435=0),"",$E435/ABS($F435))</f>
        <v/>
      </c>
      <c r="J435" s="43" t="str">
        <f aca="false">IF($B435="","",INDEX(Listas!$G$6:$G$12,WEEKDAY($B435,1)))</f>
        <v/>
      </c>
      <c r="K435" s="43" t="str">
        <f aca="false">IFERROR(IF($L435="","",TEXT(IF($L435&lt;1,HOUR($L435),INT($L435)),"00")&amp;":00"),"")</f>
        <v/>
      </c>
      <c r="L435" s="44"/>
      <c r="M435" s="45"/>
      <c r="N435" s="46"/>
      <c r="O435" s="45"/>
      <c r="P435" s="2"/>
      <c r="Q435" s="2"/>
      <c r="R435" s="2"/>
      <c r="S435" s="2"/>
      <c r="T435" s="2"/>
      <c r="U435" s="47" t="str">
        <f aca="false">IF($G435="","",IF($G435&lt;0,IF(N($U434)=0,1,$U434+1),0))</f>
        <v/>
      </c>
      <c r="V435" s="47" t="str">
        <f aca="false">IF($G435="","",IF($V434="",'Empieza aquí'!$D$8,$V434)+$G435)</f>
        <v/>
      </c>
      <c r="W435" s="47" t="str">
        <f aca="false">IF($V435="","",MAX(IF($W434="",'Empieza aquí'!$D$8,$W434),$V435))</f>
        <v/>
      </c>
      <c r="X435" s="47" t="str">
        <f aca="false">IF($V435="","",$V435-$W435)</f>
        <v/>
      </c>
      <c r="Y435" s="3"/>
      <c r="Z435" s="3"/>
      <c r="AA435" s="3"/>
      <c r="AB435" s="3"/>
      <c r="AC435" s="3"/>
      <c r="AD435" s="3"/>
      <c r="AE435" s="3"/>
      <c r="AF435" s="3"/>
      <c r="AG435" s="3"/>
      <c r="AH435" s="3"/>
    </row>
    <row r="436" customFormat="false" ht="15" hidden="false" customHeight="true" outlineLevel="0" collapsed="false">
      <c r="A436" s="2"/>
      <c r="B436" s="36"/>
      <c r="C436" s="37"/>
      <c r="D436" s="37"/>
      <c r="E436" s="38"/>
      <c r="F436" s="39"/>
      <c r="G436" s="40" t="str">
        <f aca="false">IF(OR($E436="",$C436="",$D436=""),"",$E436*$D436*IFERROR(INDEX(Listas!$C$6:$C$20,MATCH($C436,Listas!$B$6:$B$20,0)),0)-$D436*IFERROR(INDEX(Listas!$D$6:$D$20,MATCH($C436,Listas!$B$6:$B$20,0)),0))</f>
        <v/>
      </c>
      <c r="H436" s="41" t="str">
        <f aca="false">IF(OR($F436="",$C436="",$D436=""),"",ABS($F436)*$D436*IFERROR(INDEX(Listas!$C$6:$C$20,MATCH($C436,Listas!$B$6:$B$20,0)),0))</f>
        <v/>
      </c>
      <c r="I436" s="42" t="str">
        <f aca="false">IF(OR($E436="",$F436="",$F436=0),"",$E436/ABS($F436))</f>
        <v/>
      </c>
      <c r="J436" s="43" t="str">
        <f aca="false">IF($B436="","",INDEX(Listas!$G$6:$G$12,WEEKDAY($B436,1)))</f>
        <v/>
      </c>
      <c r="K436" s="43" t="str">
        <f aca="false">IFERROR(IF($L436="","",TEXT(IF($L436&lt;1,HOUR($L436),INT($L436)),"00")&amp;":00"),"")</f>
        <v/>
      </c>
      <c r="L436" s="44"/>
      <c r="M436" s="45"/>
      <c r="N436" s="46"/>
      <c r="O436" s="45"/>
      <c r="P436" s="2"/>
      <c r="Q436" s="2"/>
      <c r="R436" s="2"/>
      <c r="S436" s="2"/>
      <c r="T436" s="2"/>
      <c r="U436" s="47" t="str">
        <f aca="false">IF($G436="","",IF($G436&lt;0,IF(N($U435)=0,1,$U435+1),0))</f>
        <v/>
      </c>
      <c r="V436" s="47" t="str">
        <f aca="false">IF($G436="","",IF($V435="",'Empieza aquí'!$D$8,$V435)+$G436)</f>
        <v/>
      </c>
      <c r="W436" s="47" t="str">
        <f aca="false">IF($V436="","",MAX(IF($W435="",'Empieza aquí'!$D$8,$W435),$V436))</f>
        <v/>
      </c>
      <c r="X436" s="47" t="str">
        <f aca="false">IF($V436="","",$V436-$W436)</f>
        <v/>
      </c>
      <c r="Y436" s="3"/>
      <c r="Z436" s="3"/>
      <c r="AA436" s="3"/>
      <c r="AB436" s="3"/>
      <c r="AC436" s="3"/>
      <c r="AD436" s="3"/>
      <c r="AE436" s="3"/>
      <c r="AF436" s="3"/>
      <c r="AG436" s="3"/>
      <c r="AH436" s="3"/>
    </row>
    <row r="437" customFormat="false" ht="15" hidden="false" customHeight="true" outlineLevel="0" collapsed="false">
      <c r="A437" s="2"/>
      <c r="B437" s="36"/>
      <c r="C437" s="37"/>
      <c r="D437" s="37"/>
      <c r="E437" s="38"/>
      <c r="F437" s="39"/>
      <c r="G437" s="40" t="str">
        <f aca="false">IF(OR($E437="",$C437="",$D437=""),"",$E437*$D437*IFERROR(INDEX(Listas!$C$6:$C$20,MATCH($C437,Listas!$B$6:$B$20,0)),0)-$D437*IFERROR(INDEX(Listas!$D$6:$D$20,MATCH($C437,Listas!$B$6:$B$20,0)),0))</f>
        <v/>
      </c>
      <c r="H437" s="41" t="str">
        <f aca="false">IF(OR($F437="",$C437="",$D437=""),"",ABS($F437)*$D437*IFERROR(INDEX(Listas!$C$6:$C$20,MATCH($C437,Listas!$B$6:$B$20,0)),0))</f>
        <v/>
      </c>
      <c r="I437" s="42" t="str">
        <f aca="false">IF(OR($E437="",$F437="",$F437=0),"",$E437/ABS($F437))</f>
        <v/>
      </c>
      <c r="J437" s="43" t="str">
        <f aca="false">IF($B437="","",INDEX(Listas!$G$6:$G$12,WEEKDAY($B437,1)))</f>
        <v/>
      </c>
      <c r="K437" s="43" t="str">
        <f aca="false">IFERROR(IF($L437="","",TEXT(IF($L437&lt;1,HOUR($L437),INT($L437)),"00")&amp;":00"),"")</f>
        <v/>
      </c>
      <c r="L437" s="44"/>
      <c r="M437" s="45"/>
      <c r="N437" s="46"/>
      <c r="O437" s="45"/>
      <c r="P437" s="2"/>
      <c r="Q437" s="2"/>
      <c r="R437" s="2"/>
      <c r="S437" s="2"/>
      <c r="T437" s="2"/>
      <c r="U437" s="47" t="str">
        <f aca="false">IF($G437="","",IF($G437&lt;0,IF(N($U436)=0,1,$U436+1),0))</f>
        <v/>
      </c>
      <c r="V437" s="47" t="str">
        <f aca="false">IF($G437="","",IF($V436="",'Empieza aquí'!$D$8,$V436)+$G437)</f>
        <v/>
      </c>
      <c r="W437" s="47" t="str">
        <f aca="false">IF($V437="","",MAX(IF($W436="",'Empieza aquí'!$D$8,$W436),$V437))</f>
        <v/>
      </c>
      <c r="X437" s="47" t="str">
        <f aca="false">IF($V437="","",$V437-$W437)</f>
        <v/>
      </c>
      <c r="Y437" s="3"/>
      <c r="Z437" s="3"/>
      <c r="AA437" s="3"/>
      <c r="AB437" s="3"/>
      <c r="AC437" s="3"/>
      <c r="AD437" s="3"/>
      <c r="AE437" s="3"/>
      <c r="AF437" s="3"/>
      <c r="AG437" s="3"/>
      <c r="AH437" s="3"/>
    </row>
    <row r="438" customFormat="false" ht="15" hidden="false" customHeight="true" outlineLevel="0" collapsed="false">
      <c r="A438" s="2"/>
      <c r="B438" s="36"/>
      <c r="C438" s="37"/>
      <c r="D438" s="37"/>
      <c r="E438" s="38"/>
      <c r="F438" s="39"/>
      <c r="G438" s="40" t="str">
        <f aca="false">IF(OR($E438="",$C438="",$D438=""),"",$E438*$D438*IFERROR(INDEX(Listas!$C$6:$C$20,MATCH($C438,Listas!$B$6:$B$20,0)),0)-$D438*IFERROR(INDEX(Listas!$D$6:$D$20,MATCH($C438,Listas!$B$6:$B$20,0)),0))</f>
        <v/>
      </c>
      <c r="H438" s="41" t="str">
        <f aca="false">IF(OR($F438="",$C438="",$D438=""),"",ABS($F438)*$D438*IFERROR(INDEX(Listas!$C$6:$C$20,MATCH($C438,Listas!$B$6:$B$20,0)),0))</f>
        <v/>
      </c>
      <c r="I438" s="42" t="str">
        <f aca="false">IF(OR($E438="",$F438="",$F438=0),"",$E438/ABS($F438))</f>
        <v/>
      </c>
      <c r="J438" s="43" t="str">
        <f aca="false">IF($B438="","",INDEX(Listas!$G$6:$G$12,WEEKDAY($B438,1)))</f>
        <v/>
      </c>
      <c r="K438" s="43" t="str">
        <f aca="false">IFERROR(IF($L438="","",TEXT(IF($L438&lt;1,HOUR($L438),INT($L438)),"00")&amp;":00"),"")</f>
        <v/>
      </c>
      <c r="L438" s="44"/>
      <c r="M438" s="45"/>
      <c r="N438" s="46"/>
      <c r="O438" s="45"/>
      <c r="P438" s="2"/>
      <c r="Q438" s="2"/>
      <c r="R438" s="2"/>
      <c r="S438" s="2"/>
      <c r="T438" s="2"/>
      <c r="U438" s="47" t="str">
        <f aca="false">IF($G438="","",IF($G438&lt;0,IF(N($U437)=0,1,$U437+1),0))</f>
        <v/>
      </c>
      <c r="V438" s="47" t="str">
        <f aca="false">IF($G438="","",IF($V437="",'Empieza aquí'!$D$8,$V437)+$G438)</f>
        <v/>
      </c>
      <c r="W438" s="47" t="str">
        <f aca="false">IF($V438="","",MAX(IF($W437="",'Empieza aquí'!$D$8,$W437),$V438))</f>
        <v/>
      </c>
      <c r="X438" s="47" t="str">
        <f aca="false">IF($V438="","",$V438-$W438)</f>
        <v/>
      </c>
      <c r="Y438" s="3"/>
      <c r="Z438" s="3"/>
      <c r="AA438" s="3"/>
      <c r="AB438" s="3"/>
      <c r="AC438" s="3"/>
      <c r="AD438" s="3"/>
      <c r="AE438" s="3"/>
      <c r="AF438" s="3"/>
      <c r="AG438" s="3"/>
      <c r="AH438" s="3"/>
    </row>
    <row r="439" customFormat="false" ht="15" hidden="false" customHeight="true" outlineLevel="0" collapsed="false">
      <c r="A439" s="2"/>
      <c r="B439" s="36"/>
      <c r="C439" s="37"/>
      <c r="D439" s="37"/>
      <c r="E439" s="38"/>
      <c r="F439" s="39"/>
      <c r="G439" s="40" t="str">
        <f aca="false">IF(OR($E439="",$C439="",$D439=""),"",$E439*$D439*IFERROR(INDEX(Listas!$C$6:$C$20,MATCH($C439,Listas!$B$6:$B$20,0)),0)-$D439*IFERROR(INDEX(Listas!$D$6:$D$20,MATCH($C439,Listas!$B$6:$B$20,0)),0))</f>
        <v/>
      </c>
      <c r="H439" s="41" t="str">
        <f aca="false">IF(OR($F439="",$C439="",$D439=""),"",ABS($F439)*$D439*IFERROR(INDEX(Listas!$C$6:$C$20,MATCH($C439,Listas!$B$6:$B$20,0)),0))</f>
        <v/>
      </c>
      <c r="I439" s="42" t="str">
        <f aca="false">IF(OR($E439="",$F439="",$F439=0),"",$E439/ABS($F439))</f>
        <v/>
      </c>
      <c r="J439" s="43" t="str">
        <f aca="false">IF($B439="","",INDEX(Listas!$G$6:$G$12,WEEKDAY($B439,1)))</f>
        <v/>
      </c>
      <c r="K439" s="43" t="str">
        <f aca="false">IFERROR(IF($L439="","",TEXT(IF($L439&lt;1,HOUR($L439),INT($L439)),"00")&amp;":00"),"")</f>
        <v/>
      </c>
      <c r="L439" s="44"/>
      <c r="M439" s="45"/>
      <c r="N439" s="46"/>
      <c r="O439" s="45"/>
      <c r="P439" s="2"/>
      <c r="Q439" s="2"/>
      <c r="R439" s="2"/>
      <c r="S439" s="2"/>
      <c r="T439" s="2"/>
      <c r="U439" s="47" t="str">
        <f aca="false">IF($G439="","",IF($G439&lt;0,IF(N($U438)=0,1,$U438+1),0))</f>
        <v/>
      </c>
      <c r="V439" s="47" t="str">
        <f aca="false">IF($G439="","",IF($V438="",'Empieza aquí'!$D$8,$V438)+$G439)</f>
        <v/>
      </c>
      <c r="W439" s="47" t="str">
        <f aca="false">IF($V439="","",MAX(IF($W438="",'Empieza aquí'!$D$8,$W438),$V439))</f>
        <v/>
      </c>
      <c r="X439" s="47" t="str">
        <f aca="false">IF($V439="","",$V439-$W439)</f>
        <v/>
      </c>
      <c r="Y439" s="3"/>
      <c r="Z439" s="3"/>
      <c r="AA439" s="3"/>
      <c r="AB439" s="3"/>
      <c r="AC439" s="3"/>
      <c r="AD439" s="3"/>
      <c r="AE439" s="3"/>
      <c r="AF439" s="3"/>
      <c r="AG439" s="3"/>
      <c r="AH439" s="3"/>
    </row>
    <row r="440" customFormat="false" ht="15" hidden="false" customHeight="true" outlineLevel="0" collapsed="false">
      <c r="A440" s="2"/>
      <c r="B440" s="36"/>
      <c r="C440" s="37"/>
      <c r="D440" s="37"/>
      <c r="E440" s="38"/>
      <c r="F440" s="39"/>
      <c r="G440" s="40" t="str">
        <f aca="false">IF(OR($E440="",$C440="",$D440=""),"",$E440*$D440*IFERROR(INDEX(Listas!$C$6:$C$20,MATCH($C440,Listas!$B$6:$B$20,0)),0)-$D440*IFERROR(INDEX(Listas!$D$6:$D$20,MATCH($C440,Listas!$B$6:$B$20,0)),0))</f>
        <v/>
      </c>
      <c r="H440" s="41" t="str">
        <f aca="false">IF(OR($F440="",$C440="",$D440=""),"",ABS($F440)*$D440*IFERROR(INDEX(Listas!$C$6:$C$20,MATCH($C440,Listas!$B$6:$B$20,0)),0))</f>
        <v/>
      </c>
      <c r="I440" s="42" t="str">
        <f aca="false">IF(OR($E440="",$F440="",$F440=0),"",$E440/ABS($F440))</f>
        <v/>
      </c>
      <c r="J440" s="43" t="str">
        <f aca="false">IF($B440="","",INDEX(Listas!$G$6:$G$12,WEEKDAY($B440,1)))</f>
        <v/>
      </c>
      <c r="K440" s="43" t="str">
        <f aca="false">IFERROR(IF($L440="","",TEXT(IF($L440&lt;1,HOUR($L440),INT($L440)),"00")&amp;":00"),"")</f>
        <v/>
      </c>
      <c r="L440" s="44"/>
      <c r="M440" s="45"/>
      <c r="N440" s="46"/>
      <c r="O440" s="45"/>
      <c r="P440" s="2"/>
      <c r="Q440" s="2"/>
      <c r="R440" s="2"/>
      <c r="S440" s="2"/>
      <c r="T440" s="2"/>
      <c r="U440" s="47" t="str">
        <f aca="false">IF($G440="","",IF($G440&lt;0,IF(N($U439)=0,1,$U439+1),0))</f>
        <v/>
      </c>
      <c r="V440" s="47" t="str">
        <f aca="false">IF($G440="","",IF($V439="",'Empieza aquí'!$D$8,$V439)+$G440)</f>
        <v/>
      </c>
      <c r="W440" s="47" t="str">
        <f aca="false">IF($V440="","",MAX(IF($W439="",'Empieza aquí'!$D$8,$W439),$V440))</f>
        <v/>
      </c>
      <c r="X440" s="47" t="str">
        <f aca="false">IF($V440="","",$V440-$W440)</f>
        <v/>
      </c>
      <c r="Y440" s="3"/>
      <c r="Z440" s="3"/>
      <c r="AA440" s="3"/>
      <c r="AB440" s="3"/>
      <c r="AC440" s="3"/>
      <c r="AD440" s="3"/>
      <c r="AE440" s="3"/>
      <c r="AF440" s="3"/>
      <c r="AG440" s="3"/>
      <c r="AH440" s="3"/>
    </row>
    <row r="441" customFormat="false" ht="15" hidden="false" customHeight="true" outlineLevel="0" collapsed="false">
      <c r="A441" s="2"/>
      <c r="B441" s="36"/>
      <c r="C441" s="37"/>
      <c r="D441" s="37"/>
      <c r="E441" s="38"/>
      <c r="F441" s="39"/>
      <c r="G441" s="40" t="str">
        <f aca="false">IF(OR($E441="",$C441="",$D441=""),"",$E441*$D441*IFERROR(INDEX(Listas!$C$6:$C$20,MATCH($C441,Listas!$B$6:$B$20,0)),0)-$D441*IFERROR(INDEX(Listas!$D$6:$D$20,MATCH($C441,Listas!$B$6:$B$20,0)),0))</f>
        <v/>
      </c>
      <c r="H441" s="41" t="str">
        <f aca="false">IF(OR($F441="",$C441="",$D441=""),"",ABS($F441)*$D441*IFERROR(INDEX(Listas!$C$6:$C$20,MATCH($C441,Listas!$B$6:$B$20,0)),0))</f>
        <v/>
      </c>
      <c r="I441" s="42" t="str">
        <f aca="false">IF(OR($E441="",$F441="",$F441=0),"",$E441/ABS($F441))</f>
        <v/>
      </c>
      <c r="J441" s="43" t="str">
        <f aca="false">IF($B441="","",INDEX(Listas!$G$6:$G$12,WEEKDAY($B441,1)))</f>
        <v/>
      </c>
      <c r="K441" s="43" t="str">
        <f aca="false">IFERROR(IF($L441="","",TEXT(IF($L441&lt;1,HOUR($L441),INT($L441)),"00")&amp;":00"),"")</f>
        <v/>
      </c>
      <c r="L441" s="44"/>
      <c r="M441" s="45"/>
      <c r="N441" s="46"/>
      <c r="O441" s="45"/>
      <c r="P441" s="2"/>
      <c r="Q441" s="2"/>
      <c r="R441" s="2"/>
      <c r="S441" s="2"/>
      <c r="T441" s="2"/>
      <c r="U441" s="47" t="str">
        <f aca="false">IF($G441="","",IF($G441&lt;0,IF(N($U440)=0,1,$U440+1),0))</f>
        <v/>
      </c>
      <c r="V441" s="47" t="str">
        <f aca="false">IF($G441="","",IF($V440="",'Empieza aquí'!$D$8,$V440)+$G441)</f>
        <v/>
      </c>
      <c r="W441" s="47" t="str">
        <f aca="false">IF($V441="","",MAX(IF($W440="",'Empieza aquí'!$D$8,$W440),$V441))</f>
        <v/>
      </c>
      <c r="X441" s="47" t="str">
        <f aca="false">IF($V441="","",$V441-$W441)</f>
        <v/>
      </c>
      <c r="Y441" s="3"/>
      <c r="Z441" s="3"/>
      <c r="AA441" s="3"/>
      <c r="AB441" s="3"/>
      <c r="AC441" s="3"/>
      <c r="AD441" s="3"/>
      <c r="AE441" s="3"/>
      <c r="AF441" s="3"/>
      <c r="AG441" s="3"/>
      <c r="AH441" s="3"/>
    </row>
    <row r="442" customFormat="false" ht="15" hidden="false" customHeight="true" outlineLevel="0" collapsed="false">
      <c r="A442" s="2"/>
      <c r="B442" s="36"/>
      <c r="C442" s="37"/>
      <c r="D442" s="37"/>
      <c r="E442" s="38"/>
      <c r="F442" s="39"/>
      <c r="G442" s="40" t="str">
        <f aca="false">IF(OR($E442="",$C442="",$D442=""),"",$E442*$D442*IFERROR(INDEX(Listas!$C$6:$C$20,MATCH($C442,Listas!$B$6:$B$20,0)),0)-$D442*IFERROR(INDEX(Listas!$D$6:$D$20,MATCH($C442,Listas!$B$6:$B$20,0)),0))</f>
        <v/>
      </c>
      <c r="H442" s="41" t="str">
        <f aca="false">IF(OR($F442="",$C442="",$D442=""),"",ABS($F442)*$D442*IFERROR(INDEX(Listas!$C$6:$C$20,MATCH($C442,Listas!$B$6:$B$20,0)),0))</f>
        <v/>
      </c>
      <c r="I442" s="42" t="str">
        <f aca="false">IF(OR($E442="",$F442="",$F442=0),"",$E442/ABS($F442))</f>
        <v/>
      </c>
      <c r="J442" s="43" t="str">
        <f aca="false">IF($B442="","",INDEX(Listas!$G$6:$G$12,WEEKDAY($B442,1)))</f>
        <v/>
      </c>
      <c r="K442" s="43" t="str">
        <f aca="false">IFERROR(IF($L442="","",TEXT(IF($L442&lt;1,HOUR($L442),INT($L442)),"00")&amp;":00"),"")</f>
        <v/>
      </c>
      <c r="L442" s="44"/>
      <c r="M442" s="45"/>
      <c r="N442" s="46"/>
      <c r="O442" s="45"/>
      <c r="P442" s="2"/>
      <c r="Q442" s="2"/>
      <c r="R442" s="2"/>
      <c r="S442" s="2"/>
      <c r="T442" s="2"/>
      <c r="U442" s="47" t="str">
        <f aca="false">IF($G442="","",IF($G442&lt;0,IF(N($U441)=0,1,$U441+1),0))</f>
        <v/>
      </c>
      <c r="V442" s="47" t="str">
        <f aca="false">IF($G442="","",IF($V441="",'Empieza aquí'!$D$8,$V441)+$G442)</f>
        <v/>
      </c>
      <c r="W442" s="47" t="str">
        <f aca="false">IF($V442="","",MAX(IF($W441="",'Empieza aquí'!$D$8,$W441),$V442))</f>
        <v/>
      </c>
      <c r="X442" s="47" t="str">
        <f aca="false">IF($V442="","",$V442-$W442)</f>
        <v/>
      </c>
      <c r="Y442" s="3"/>
      <c r="Z442" s="3"/>
      <c r="AA442" s="3"/>
      <c r="AB442" s="3"/>
      <c r="AC442" s="3"/>
      <c r="AD442" s="3"/>
      <c r="AE442" s="3"/>
      <c r="AF442" s="3"/>
      <c r="AG442" s="3"/>
      <c r="AH442" s="3"/>
    </row>
    <row r="443" customFormat="false" ht="15" hidden="false" customHeight="true" outlineLevel="0" collapsed="false">
      <c r="A443" s="2"/>
      <c r="B443" s="36"/>
      <c r="C443" s="37"/>
      <c r="D443" s="37"/>
      <c r="E443" s="38"/>
      <c r="F443" s="39"/>
      <c r="G443" s="40" t="str">
        <f aca="false">IF(OR($E443="",$C443="",$D443=""),"",$E443*$D443*IFERROR(INDEX(Listas!$C$6:$C$20,MATCH($C443,Listas!$B$6:$B$20,0)),0)-$D443*IFERROR(INDEX(Listas!$D$6:$D$20,MATCH($C443,Listas!$B$6:$B$20,0)),0))</f>
        <v/>
      </c>
      <c r="H443" s="41" t="str">
        <f aca="false">IF(OR($F443="",$C443="",$D443=""),"",ABS($F443)*$D443*IFERROR(INDEX(Listas!$C$6:$C$20,MATCH($C443,Listas!$B$6:$B$20,0)),0))</f>
        <v/>
      </c>
      <c r="I443" s="42" t="str">
        <f aca="false">IF(OR($E443="",$F443="",$F443=0),"",$E443/ABS($F443))</f>
        <v/>
      </c>
      <c r="J443" s="43" t="str">
        <f aca="false">IF($B443="","",INDEX(Listas!$G$6:$G$12,WEEKDAY($B443,1)))</f>
        <v/>
      </c>
      <c r="K443" s="43" t="str">
        <f aca="false">IFERROR(IF($L443="","",TEXT(IF($L443&lt;1,HOUR($L443),INT($L443)),"00")&amp;":00"),"")</f>
        <v/>
      </c>
      <c r="L443" s="44"/>
      <c r="M443" s="45"/>
      <c r="N443" s="46"/>
      <c r="O443" s="45"/>
      <c r="P443" s="2"/>
      <c r="Q443" s="2"/>
      <c r="R443" s="2"/>
      <c r="S443" s="2"/>
      <c r="T443" s="2"/>
      <c r="U443" s="47" t="str">
        <f aca="false">IF($G443="","",IF($G443&lt;0,IF(N($U442)=0,1,$U442+1),0))</f>
        <v/>
      </c>
      <c r="V443" s="47" t="str">
        <f aca="false">IF($G443="","",IF($V442="",'Empieza aquí'!$D$8,$V442)+$G443)</f>
        <v/>
      </c>
      <c r="W443" s="47" t="str">
        <f aca="false">IF($V443="","",MAX(IF($W442="",'Empieza aquí'!$D$8,$W442),$V443))</f>
        <v/>
      </c>
      <c r="X443" s="47" t="str">
        <f aca="false">IF($V443="","",$V443-$W443)</f>
        <v/>
      </c>
      <c r="Y443" s="3"/>
      <c r="Z443" s="3"/>
      <c r="AA443" s="3"/>
      <c r="AB443" s="3"/>
      <c r="AC443" s="3"/>
      <c r="AD443" s="3"/>
      <c r="AE443" s="3"/>
      <c r="AF443" s="3"/>
      <c r="AG443" s="3"/>
      <c r="AH443" s="3"/>
    </row>
    <row r="444" customFormat="false" ht="15" hidden="false" customHeight="true" outlineLevel="0" collapsed="false">
      <c r="A444" s="2"/>
      <c r="B444" s="36"/>
      <c r="C444" s="37"/>
      <c r="D444" s="37"/>
      <c r="E444" s="38"/>
      <c r="F444" s="39"/>
      <c r="G444" s="40" t="str">
        <f aca="false">IF(OR($E444="",$C444="",$D444=""),"",$E444*$D444*IFERROR(INDEX(Listas!$C$6:$C$20,MATCH($C444,Listas!$B$6:$B$20,0)),0)-$D444*IFERROR(INDEX(Listas!$D$6:$D$20,MATCH($C444,Listas!$B$6:$B$20,0)),0))</f>
        <v/>
      </c>
      <c r="H444" s="41" t="str">
        <f aca="false">IF(OR($F444="",$C444="",$D444=""),"",ABS($F444)*$D444*IFERROR(INDEX(Listas!$C$6:$C$20,MATCH($C444,Listas!$B$6:$B$20,0)),0))</f>
        <v/>
      </c>
      <c r="I444" s="42" t="str">
        <f aca="false">IF(OR($E444="",$F444="",$F444=0),"",$E444/ABS($F444))</f>
        <v/>
      </c>
      <c r="J444" s="43" t="str">
        <f aca="false">IF($B444="","",INDEX(Listas!$G$6:$G$12,WEEKDAY($B444,1)))</f>
        <v/>
      </c>
      <c r="K444" s="43" t="str">
        <f aca="false">IFERROR(IF($L444="","",TEXT(IF($L444&lt;1,HOUR($L444),INT($L444)),"00")&amp;":00"),"")</f>
        <v/>
      </c>
      <c r="L444" s="44"/>
      <c r="M444" s="45"/>
      <c r="N444" s="46"/>
      <c r="O444" s="45"/>
      <c r="P444" s="2"/>
      <c r="Q444" s="2"/>
      <c r="R444" s="2"/>
      <c r="S444" s="2"/>
      <c r="T444" s="2"/>
      <c r="U444" s="47" t="str">
        <f aca="false">IF($G444="","",IF($G444&lt;0,IF(N($U443)=0,1,$U443+1),0))</f>
        <v/>
      </c>
      <c r="V444" s="47" t="str">
        <f aca="false">IF($G444="","",IF($V443="",'Empieza aquí'!$D$8,$V443)+$G444)</f>
        <v/>
      </c>
      <c r="W444" s="47" t="str">
        <f aca="false">IF($V444="","",MAX(IF($W443="",'Empieza aquí'!$D$8,$W443),$V444))</f>
        <v/>
      </c>
      <c r="X444" s="47" t="str">
        <f aca="false">IF($V444="","",$V444-$W444)</f>
        <v/>
      </c>
      <c r="Y444" s="3"/>
      <c r="Z444" s="3"/>
      <c r="AA444" s="3"/>
      <c r="AB444" s="3"/>
      <c r="AC444" s="3"/>
      <c r="AD444" s="3"/>
      <c r="AE444" s="3"/>
      <c r="AF444" s="3"/>
      <c r="AG444" s="3"/>
      <c r="AH444" s="3"/>
    </row>
    <row r="445" customFormat="false" ht="15" hidden="false" customHeight="true" outlineLevel="0" collapsed="false">
      <c r="A445" s="2"/>
      <c r="B445" s="36"/>
      <c r="C445" s="37"/>
      <c r="D445" s="37"/>
      <c r="E445" s="38"/>
      <c r="F445" s="39"/>
      <c r="G445" s="40" t="str">
        <f aca="false">IF(OR($E445="",$C445="",$D445=""),"",$E445*$D445*IFERROR(INDEX(Listas!$C$6:$C$20,MATCH($C445,Listas!$B$6:$B$20,0)),0)-$D445*IFERROR(INDEX(Listas!$D$6:$D$20,MATCH($C445,Listas!$B$6:$B$20,0)),0))</f>
        <v/>
      </c>
      <c r="H445" s="41" t="str">
        <f aca="false">IF(OR($F445="",$C445="",$D445=""),"",ABS($F445)*$D445*IFERROR(INDEX(Listas!$C$6:$C$20,MATCH($C445,Listas!$B$6:$B$20,0)),0))</f>
        <v/>
      </c>
      <c r="I445" s="42" t="str">
        <f aca="false">IF(OR($E445="",$F445="",$F445=0),"",$E445/ABS($F445))</f>
        <v/>
      </c>
      <c r="J445" s="43" t="str">
        <f aca="false">IF($B445="","",INDEX(Listas!$G$6:$G$12,WEEKDAY($B445,1)))</f>
        <v/>
      </c>
      <c r="K445" s="43" t="str">
        <f aca="false">IFERROR(IF($L445="","",TEXT(IF($L445&lt;1,HOUR($L445),INT($L445)),"00")&amp;":00"),"")</f>
        <v/>
      </c>
      <c r="L445" s="44"/>
      <c r="M445" s="45"/>
      <c r="N445" s="46"/>
      <c r="O445" s="45"/>
      <c r="P445" s="2"/>
      <c r="Q445" s="2"/>
      <c r="R445" s="2"/>
      <c r="S445" s="2"/>
      <c r="T445" s="2"/>
      <c r="U445" s="47" t="str">
        <f aca="false">IF($G445="","",IF($G445&lt;0,IF(N($U444)=0,1,$U444+1),0))</f>
        <v/>
      </c>
      <c r="V445" s="47" t="str">
        <f aca="false">IF($G445="","",IF($V444="",'Empieza aquí'!$D$8,$V444)+$G445)</f>
        <v/>
      </c>
      <c r="W445" s="47" t="str">
        <f aca="false">IF($V445="","",MAX(IF($W444="",'Empieza aquí'!$D$8,$W444),$V445))</f>
        <v/>
      </c>
      <c r="X445" s="47" t="str">
        <f aca="false">IF($V445="","",$V445-$W445)</f>
        <v/>
      </c>
      <c r="Y445" s="3"/>
      <c r="Z445" s="3"/>
      <c r="AA445" s="3"/>
      <c r="AB445" s="3"/>
      <c r="AC445" s="3"/>
      <c r="AD445" s="3"/>
      <c r="AE445" s="3"/>
      <c r="AF445" s="3"/>
      <c r="AG445" s="3"/>
      <c r="AH445" s="3"/>
    </row>
    <row r="446" customFormat="false" ht="15" hidden="false" customHeight="true" outlineLevel="0" collapsed="false">
      <c r="A446" s="2"/>
      <c r="B446" s="36"/>
      <c r="C446" s="37"/>
      <c r="D446" s="37"/>
      <c r="E446" s="38"/>
      <c r="F446" s="39"/>
      <c r="G446" s="40" t="str">
        <f aca="false">IF(OR($E446="",$C446="",$D446=""),"",$E446*$D446*IFERROR(INDEX(Listas!$C$6:$C$20,MATCH($C446,Listas!$B$6:$B$20,0)),0)-$D446*IFERROR(INDEX(Listas!$D$6:$D$20,MATCH($C446,Listas!$B$6:$B$20,0)),0))</f>
        <v/>
      </c>
      <c r="H446" s="41" t="str">
        <f aca="false">IF(OR($F446="",$C446="",$D446=""),"",ABS($F446)*$D446*IFERROR(INDEX(Listas!$C$6:$C$20,MATCH($C446,Listas!$B$6:$B$20,0)),0))</f>
        <v/>
      </c>
      <c r="I446" s="42" t="str">
        <f aca="false">IF(OR($E446="",$F446="",$F446=0),"",$E446/ABS($F446))</f>
        <v/>
      </c>
      <c r="J446" s="43" t="str">
        <f aca="false">IF($B446="","",INDEX(Listas!$G$6:$G$12,WEEKDAY($B446,1)))</f>
        <v/>
      </c>
      <c r="K446" s="43" t="str">
        <f aca="false">IFERROR(IF($L446="","",TEXT(IF($L446&lt;1,HOUR($L446),INT($L446)),"00")&amp;":00"),"")</f>
        <v/>
      </c>
      <c r="L446" s="44"/>
      <c r="M446" s="45"/>
      <c r="N446" s="46"/>
      <c r="O446" s="45"/>
      <c r="P446" s="2"/>
      <c r="Q446" s="2"/>
      <c r="R446" s="2"/>
      <c r="S446" s="2"/>
      <c r="T446" s="2"/>
      <c r="U446" s="47" t="str">
        <f aca="false">IF($G446="","",IF($G446&lt;0,IF(N($U445)=0,1,$U445+1),0))</f>
        <v/>
      </c>
      <c r="V446" s="47" t="str">
        <f aca="false">IF($G446="","",IF($V445="",'Empieza aquí'!$D$8,$V445)+$G446)</f>
        <v/>
      </c>
      <c r="W446" s="47" t="str">
        <f aca="false">IF($V446="","",MAX(IF($W445="",'Empieza aquí'!$D$8,$W445),$V446))</f>
        <v/>
      </c>
      <c r="X446" s="47" t="str">
        <f aca="false">IF($V446="","",$V446-$W446)</f>
        <v/>
      </c>
      <c r="Y446" s="3"/>
      <c r="Z446" s="3"/>
      <c r="AA446" s="3"/>
      <c r="AB446" s="3"/>
      <c r="AC446" s="3"/>
      <c r="AD446" s="3"/>
      <c r="AE446" s="3"/>
      <c r="AF446" s="3"/>
      <c r="AG446" s="3"/>
      <c r="AH446" s="3"/>
    </row>
    <row r="447" customFormat="false" ht="15" hidden="false" customHeight="true" outlineLevel="0" collapsed="false">
      <c r="A447" s="2"/>
      <c r="B447" s="36"/>
      <c r="C447" s="37"/>
      <c r="D447" s="37"/>
      <c r="E447" s="38"/>
      <c r="F447" s="39"/>
      <c r="G447" s="40" t="str">
        <f aca="false">IF(OR($E447="",$C447="",$D447=""),"",$E447*$D447*IFERROR(INDEX(Listas!$C$6:$C$20,MATCH($C447,Listas!$B$6:$B$20,0)),0)-$D447*IFERROR(INDEX(Listas!$D$6:$D$20,MATCH($C447,Listas!$B$6:$B$20,0)),0))</f>
        <v/>
      </c>
      <c r="H447" s="41" t="str">
        <f aca="false">IF(OR($F447="",$C447="",$D447=""),"",ABS($F447)*$D447*IFERROR(INDEX(Listas!$C$6:$C$20,MATCH($C447,Listas!$B$6:$B$20,0)),0))</f>
        <v/>
      </c>
      <c r="I447" s="42" t="str">
        <f aca="false">IF(OR($E447="",$F447="",$F447=0),"",$E447/ABS($F447))</f>
        <v/>
      </c>
      <c r="J447" s="43" t="str">
        <f aca="false">IF($B447="","",INDEX(Listas!$G$6:$G$12,WEEKDAY($B447,1)))</f>
        <v/>
      </c>
      <c r="K447" s="43" t="str">
        <f aca="false">IFERROR(IF($L447="","",TEXT(IF($L447&lt;1,HOUR($L447),INT($L447)),"00")&amp;":00"),"")</f>
        <v/>
      </c>
      <c r="L447" s="44"/>
      <c r="M447" s="45"/>
      <c r="N447" s="46"/>
      <c r="O447" s="45"/>
      <c r="P447" s="2"/>
      <c r="Q447" s="2"/>
      <c r="R447" s="2"/>
      <c r="S447" s="2"/>
      <c r="T447" s="2"/>
      <c r="U447" s="47" t="str">
        <f aca="false">IF($G447="","",IF($G447&lt;0,IF(N($U446)=0,1,$U446+1),0))</f>
        <v/>
      </c>
      <c r="V447" s="47" t="str">
        <f aca="false">IF($G447="","",IF($V446="",'Empieza aquí'!$D$8,$V446)+$G447)</f>
        <v/>
      </c>
      <c r="W447" s="47" t="str">
        <f aca="false">IF($V447="","",MAX(IF($W446="",'Empieza aquí'!$D$8,$W446),$V447))</f>
        <v/>
      </c>
      <c r="X447" s="47" t="str">
        <f aca="false">IF($V447="","",$V447-$W447)</f>
        <v/>
      </c>
      <c r="Y447" s="3"/>
      <c r="Z447" s="3"/>
      <c r="AA447" s="3"/>
      <c r="AB447" s="3"/>
      <c r="AC447" s="3"/>
      <c r="AD447" s="3"/>
      <c r="AE447" s="3"/>
      <c r="AF447" s="3"/>
      <c r="AG447" s="3"/>
      <c r="AH447" s="3"/>
    </row>
    <row r="448" customFormat="false" ht="15" hidden="false" customHeight="true" outlineLevel="0" collapsed="false">
      <c r="A448" s="2"/>
      <c r="B448" s="36"/>
      <c r="C448" s="37"/>
      <c r="D448" s="37"/>
      <c r="E448" s="38"/>
      <c r="F448" s="39"/>
      <c r="G448" s="40" t="str">
        <f aca="false">IF(OR($E448="",$C448="",$D448=""),"",$E448*$D448*IFERROR(INDEX(Listas!$C$6:$C$20,MATCH($C448,Listas!$B$6:$B$20,0)),0)-$D448*IFERROR(INDEX(Listas!$D$6:$D$20,MATCH($C448,Listas!$B$6:$B$20,0)),0))</f>
        <v/>
      </c>
      <c r="H448" s="41" t="str">
        <f aca="false">IF(OR($F448="",$C448="",$D448=""),"",ABS($F448)*$D448*IFERROR(INDEX(Listas!$C$6:$C$20,MATCH($C448,Listas!$B$6:$B$20,0)),0))</f>
        <v/>
      </c>
      <c r="I448" s="42" t="str">
        <f aca="false">IF(OR($E448="",$F448="",$F448=0),"",$E448/ABS($F448))</f>
        <v/>
      </c>
      <c r="J448" s="43" t="str">
        <f aca="false">IF($B448="","",INDEX(Listas!$G$6:$G$12,WEEKDAY($B448,1)))</f>
        <v/>
      </c>
      <c r="K448" s="43" t="str">
        <f aca="false">IFERROR(IF($L448="","",TEXT(IF($L448&lt;1,HOUR($L448),INT($L448)),"00")&amp;":00"),"")</f>
        <v/>
      </c>
      <c r="L448" s="44"/>
      <c r="M448" s="45"/>
      <c r="N448" s="46"/>
      <c r="O448" s="45"/>
      <c r="P448" s="2"/>
      <c r="Q448" s="2"/>
      <c r="R448" s="2"/>
      <c r="S448" s="2"/>
      <c r="T448" s="2"/>
      <c r="U448" s="47" t="str">
        <f aca="false">IF($G448="","",IF($G448&lt;0,IF(N($U447)=0,1,$U447+1),0))</f>
        <v/>
      </c>
      <c r="V448" s="47" t="str">
        <f aca="false">IF($G448="","",IF($V447="",'Empieza aquí'!$D$8,$V447)+$G448)</f>
        <v/>
      </c>
      <c r="W448" s="47" t="str">
        <f aca="false">IF($V448="","",MAX(IF($W447="",'Empieza aquí'!$D$8,$W447),$V448))</f>
        <v/>
      </c>
      <c r="X448" s="47" t="str">
        <f aca="false">IF($V448="","",$V448-$W448)</f>
        <v/>
      </c>
      <c r="Y448" s="3"/>
      <c r="Z448" s="3"/>
      <c r="AA448" s="3"/>
      <c r="AB448" s="3"/>
      <c r="AC448" s="3"/>
      <c r="AD448" s="3"/>
      <c r="AE448" s="3"/>
      <c r="AF448" s="3"/>
      <c r="AG448" s="3"/>
      <c r="AH448" s="3"/>
    </row>
    <row r="449" customFormat="false" ht="15" hidden="false" customHeight="true" outlineLevel="0" collapsed="false">
      <c r="A449" s="2"/>
      <c r="B449" s="36"/>
      <c r="C449" s="37"/>
      <c r="D449" s="37"/>
      <c r="E449" s="38"/>
      <c r="F449" s="39"/>
      <c r="G449" s="40" t="str">
        <f aca="false">IF(OR($E449="",$C449="",$D449=""),"",$E449*$D449*IFERROR(INDEX(Listas!$C$6:$C$20,MATCH($C449,Listas!$B$6:$B$20,0)),0)-$D449*IFERROR(INDEX(Listas!$D$6:$D$20,MATCH($C449,Listas!$B$6:$B$20,0)),0))</f>
        <v/>
      </c>
      <c r="H449" s="41" t="str">
        <f aca="false">IF(OR($F449="",$C449="",$D449=""),"",ABS($F449)*$D449*IFERROR(INDEX(Listas!$C$6:$C$20,MATCH($C449,Listas!$B$6:$B$20,0)),0))</f>
        <v/>
      </c>
      <c r="I449" s="42" t="str">
        <f aca="false">IF(OR($E449="",$F449="",$F449=0),"",$E449/ABS($F449))</f>
        <v/>
      </c>
      <c r="J449" s="43" t="str">
        <f aca="false">IF($B449="","",INDEX(Listas!$G$6:$G$12,WEEKDAY($B449,1)))</f>
        <v/>
      </c>
      <c r="K449" s="43" t="str">
        <f aca="false">IFERROR(IF($L449="","",TEXT(IF($L449&lt;1,HOUR($L449),INT($L449)),"00")&amp;":00"),"")</f>
        <v/>
      </c>
      <c r="L449" s="44"/>
      <c r="M449" s="45"/>
      <c r="N449" s="46"/>
      <c r="O449" s="45"/>
      <c r="P449" s="2"/>
      <c r="Q449" s="2"/>
      <c r="R449" s="2"/>
      <c r="S449" s="2"/>
      <c r="T449" s="2"/>
      <c r="U449" s="47" t="str">
        <f aca="false">IF($G449="","",IF($G449&lt;0,IF(N($U448)=0,1,$U448+1),0))</f>
        <v/>
      </c>
      <c r="V449" s="47" t="str">
        <f aca="false">IF($G449="","",IF($V448="",'Empieza aquí'!$D$8,$V448)+$G449)</f>
        <v/>
      </c>
      <c r="W449" s="47" t="str">
        <f aca="false">IF($V449="","",MAX(IF($W448="",'Empieza aquí'!$D$8,$W448),$V449))</f>
        <v/>
      </c>
      <c r="X449" s="47" t="str">
        <f aca="false">IF($V449="","",$V449-$W449)</f>
        <v/>
      </c>
      <c r="Y449" s="3"/>
      <c r="Z449" s="3"/>
      <c r="AA449" s="3"/>
      <c r="AB449" s="3"/>
      <c r="AC449" s="3"/>
      <c r="AD449" s="3"/>
      <c r="AE449" s="3"/>
      <c r="AF449" s="3"/>
      <c r="AG449" s="3"/>
      <c r="AH449" s="3"/>
    </row>
    <row r="450" customFormat="false" ht="15" hidden="false" customHeight="true" outlineLevel="0" collapsed="false">
      <c r="A450" s="2"/>
      <c r="B450" s="36"/>
      <c r="C450" s="37"/>
      <c r="D450" s="37"/>
      <c r="E450" s="38"/>
      <c r="F450" s="39"/>
      <c r="G450" s="40" t="str">
        <f aca="false">IF(OR($E450="",$C450="",$D450=""),"",$E450*$D450*IFERROR(INDEX(Listas!$C$6:$C$20,MATCH($C450,Listas!$B$6:$B$20,0)),0)-$D450*IFERROR(INDEX(Listas!$D$6:$D$20,MATCH($C450,Listas!$B$6:$B$20,0)),0))</f>
        <v/>
      </c>
      <c r="H450" s="41" t="str">
        <f aca="false">IF(OR($F450="",$C450="",$D450=""),"",ABS($F450)*$D450*IFERROR(INDEX(Listas!$C$6:$C$20,MATCH($C450,Listas!$B$6:$B$20,0)),0))</f>
        <v/>
      </c>
      <c r="I450" s="42" t="str">
        <f aca="false">IF(OR($E450="",$F450="",$F450=0),"",$E450/ABS($F450))</f>
        <v/>
      </c>
      <c r="J450" s="43" t="str">
        <f aca="false">IF($B450="","",INDEX(Listas!$G$6:$G$12,WEEKDAY($B450,1)))</f>
        <v/>
      </c>
      <c r="K450" s="43" t="str">
        <f aca="false">IFERROR(IF($L450="","",TEXT(IF($L450&lt;1,HOUR($L450),INT($L450)),"00")&amp;":00"),"")</f>
        <v/>
      </c>
      <c r="L450" s="44"/>
      <c r="M450" s="45"/>
      <c r="N450" s="46"/>
      <c r="O450" s="45"/>
      <c r="P450" s="2"/>
      <c r="Q450" s="2"/>
      <c r="R450" s="2"/>
      <c r="S450" s="2"/>
      <c r="T450" s="2"/>
      <c r="U450" s="47" t="str">
        <f aca="false">IF($G450="","",IF($G450&lt;0,IF(N($U449)=0,1,$U449+1),0))</f>
        <v/>
      </c>
      <c r="V450" s="47" t="str">
        <f aca="false">IF($G450="","",IF($V449="",'Empieza aquí'!$D$8,$V449)+$G450)</f>
        <v/>
      </c>
      <c r="W450" s="47" t="str">
        <f aca="false">IF($V450="","",MAX(IF($W449="",'Empieza aquí'!$D$8,$W449),$V450))</f>
        <v/>
      </c>
      <c r="X450" s="47" t="str">
        <f aca="false">IF($V450="","",$V450-$W450)</f>
        <v/>
      </c>
      <c r="Y450" s="3"/>
      <c r="Z450" s="3"/>
      <c r="AA450" s="3"/>
      <c r="AB450" s="3"/>
      <c r="AC450" s="3"/>
      <c r="AD450" s="3"/>
      <c r="AE450" s="3"/>
      <c r="AF450" s="3"/>
      <c r="AG450" s="3"/>
      <c r="AH450" s="3"/>
    </row>
    <row r="451" customFormat="false" ht="15" hidden="false" customHeight="true" outlineLevel="0" collapsed="false">
      <c r="A451" s="2"/>
      <c r="B451" s="36"/>
      <c r="C451" s="37"/>
      <c r="D451" s="37"/>
      <c r="E451" s="38"/>
      <c r="F451" s="39"/>
      <c r="G451" s="40" t="str">
        <f aca="false">IF(OR($E451="",$C451="",$D451=""),"",$E451*$D451*IFERROR(INDEX(Listas!$C$6:$C$20,MATCH($C451,Listas!$B$6:$B$20,0)),0)-$D451*IFERROR(INDEX(Listas!$D$6:$D$20,MATCH($C451,Listas!$B$6:$B$20,0)),0))</f>
        <v/>
      </c>
      <c r="H451" s="41" t="str">
        <f aca="false">IF(OR($F451="",$C451="",$D451=""),"",ABS($F451)*$D451*IFERROR(INDEX(Listas!$C$6:$C$20,MATCH($C451,Listas!$B$6:$B$20,0)),0))</f>
        <v/>
      </c>
      <c r="I451" s="42" t="str">
        <f aca="false">IF(OR($E451="",$F451="",$F451=0),"",$E451/ABS($F451))</f>
        <v/>
      </c>
      <c r="J451" s="43" t="str">
        <f aca="false">IF($B451="","",INDEX(Listas!$G$6:$G$12,WEEKDAY($B451,1)))</f>
        <v/>
      </c>
      <c r="K451" s="43" t="str">
        <f aca="false">IFERROR(IF($L451="","",TEXT(IF($L451&lt;1,HOUR($L451),INT($L451)),"00")&amp;":00"),"")</f>
        <v/>
      </c>
      <c r="L451" s="44"/>
      <c r="M451" s="45"/>
      <c r="N451" s="46"/>
      <c r="O451" s="45"/>
      <c r="P451" s="2"/>
      <c r="Q451" s="2"/>
      <c r="R451" s="2"/>
      <c r="S451" s="2"/>
      <c r="T451" s="2"/>
      <c r="U451" s="47" t="str">
        <f aca="false">IF($G451="","",IF($G451&lt;0,IF(N($U450)=0,1,$U450+1),0))</f>
        <v/>
      </c>
      <c r="V451" s="47" t="str">
        <f aca="false">IF($G451="","",IF($V450="",'Empieza aquí'!$D$8,$V450)+$G451)</f>
        <v/>
      </c>
      <c r="W451" s="47" t="str">
        <f aca="false">IF($V451="","",MAX(IF($W450="",'Empieza aquí'!$D$8,$W450),$V451))</f>
        <v/>
      </c>
      <c r="X451" s="47" t="str">
        <f aca="false">IF($V451="","",$V451-$W451)</f>
        <v/>
      </c>
      <c r="Y451" s="3"/>
      <c r="Z451" s="3"/>
      <c r="AA451" s="3"/>
      <c r="AB451" s="3"/>
      <c r="AC451" s="3"/>
      <c r="AD451" s="3"/>
      <c r="AE451" s="3"/>
      <c r="AF451" s="3"/>
      <c r="AG451" s="3"/>
      <c r="AH451" s="3"/>
    </row>
    <row r="452" customFormat="false" ht="15" hidden="false" customHeight="true" outlineLevel="0" collapsed="false">
      <c r="A452" s="2"/>
      <c r="B452" s="36"/>
      <c r="C452" s="37"/>
      <c r="D452" s="37"/>
      <c r="E452" s="38"/>
      <c r="F452" s="39"/>
      <c r="G452" s="40" t="str">
        <f aca="false">IF(OR($E452="",$C452="",$D452=""),"",$E452*$D452*IFERROR(INDEX(Listas!$C$6:$C$20,MATCH($C452,Listas!$B$6:$B$20,0)),0)-$D452*IFERROR(INDEX(Listas!$D$6:$D$20,MATCH($C452,Listas!$B$6:$B$20,0)),0))</f>
        <v/>
      </c>
      <c r="H452" s="41" t="str">
        <f aca="false">IF(OR($F452="",$C452="",$D452=""),"",ABS($F452)*$D452*IFERROR(INDEX(Listas!$C$6:$C$20,MATCH($C452,Listas!$B$6:$B$20,0)),0))</f>
        <v/>
      </c>
      <c r="I452" s="42" t="str">
        <f aca="false">IF(OR($E452="",$F452="",$F452=0),"",$E452/ABS($F452))</f>
        <v/>
      </c>
      <c r="J452" s="43" t="str">
        <f aca="false">IF($B452="","",INDEX(Listas!$G$6:$G$12,WEEKDAY($B452,1)))</f>
        <v/>
      </c>
      <c r="K452" s="43" t="str">
        <f aca="false">IFERROR(IF($L452="","",TEXT(IF($L452&lt;1,HOUR($L452),INT($L452)),"00")&amp;":00"),"")</f>
        <v/>
      </c>
      <c r="L452" s="44"/>
      <c r="M452" s="45"/>
      <c r="N452" s="46"/>
      <c r="O452" s="45"/>
      <c r="P452" s="2"/>
      <c r="Q452" s="2"/>
      <c r="R452" s="2"/>
      <c r="S452" s="2"/>
      <c r="T452" s="2"/>
      <c r="U452" s="47" t="str">
        <f aca="false">IF($G452="","",IF($G452&lt;0,IF(N($U451)=0,1,$U451+1),0))</f>
        <v/>
      </c>
      <c r="V452" s="47" t="str">
        <f aca="false">IF($G452="","",IF($V451="",'Empieza aquí'!$D$8,$V451)+$G452)</f>
        <v/>
      </c>
      <c r="W452" s="47" t="str">
        <f aca="false">IF($V452="","",MAX(IF($W451="",'Empieza aquí'!$D$8,$W451),$V452))</f>
        <v/>
      </c>
      <c r="X452" s="47" t="str">
        <f aca="false">IF($V452="","",$V452-$W452)</f>
        <v/>
      </c>
      <c r="Y452" s="3"/>
      <c r="Z452" s="3"/>
      <c r="AA452" s="3"/>
      <c r="AB452" s="3"/>
      <c r="AC452" s="3"/>
      <c r="AD452" s="3"/>
      <c r="AE452" s="3"/>
      <c r="AF452" s="3"/>
      <c r="AG452" s="3"/>
      <c r="AH452" s="3"/>
    </row>
    <row r="453" customFormat="false" ht="15" hidden="false" customHeight="true" outlineLevel="0" collapsed="false">
      <c r="A453" s="2"/>
      <c r="B453" s="36"/>
      <c r="C453" s="37"/>
      <c r="D453" s="37"/>
      <c r="E453" s="38"/>
      <c r="F453" s="39"/>
      <c r="G453" s="40" t="str">
        <f aca="false">IF(OR($E453="",$C453="",$D453=""),"",$E453*$D453*IFERROR(INDEX(Listas!$C$6:$C$20,MATCH($C453,Listas!$B$6:$B$20,0)),0)-$D453*IFERROR(INDEX(Listas!$D$6:$D$20,MATCH($C453,Listas!$B$6:$B$20,0)),0))</f>
        <v/>
      </c>
      <c r="H453" s="41" t="str">
        <f aca="false">IF(OR($F453="",$C453="",$D453=""),"",ABS($F453)*$D453*IFERROR(INDEX(Listas!$C$6:$C$20,MATCH($C453,Listas!$B$6:$B$20,0)),0))</f>
        <v/>
      </c>
      <c r="I453" s="42" t="str">
        <f aca="false">IF(OR($E453="",$F453="",$F453=0),"",$E453/ABS($F453))</f>
        <v/>
      </c>
      <c r="J453" s="43" t="str">
        <f aca="false">IF($B453="","",INDEX(Listas!$G$6:$G$12,WEEKDAY($B453,1)))</f>
        <v/>
      </c>
      <c r="K453" s="43" t="str">
        <f aca="false">IFERROR(IF($L453="","",TEXT(IF($L453&lt;1,HOUR($L453),INT($L453)),"00")&amp;":00"),"")</f>
        <v/>
      </c>
      <c r="L453" s="44"/>
      <c r="M453" s="45"/>
      <c r="N453" s="46"/>
      <c r="O453" s="45"/>
      <c r="P453" s="2"/>
      <c r="Q453" s="2"/>
      <c r="R453" s="2"/>
      <c r="S453" s="2"/>
      <c r="T453" s="2"/>
      <c r="U453" s="47" t="str">
        <f aca="false">IF($G453="","",IF($G453&lt;0,IF(N($U452)=0,1,$U452+1),0))</f>
        <v/>
      </c>
      <c r="V453" s="47" t="str">
        <f aca="false">IF($G453="","",IF($V452="",'Empieza aquí'!$D$8,$V452)+$G453)</f>
        <v/>
      </c>
      <c r="W453" s="47" t="str">
        <f aca="false">IF($V453="","",MAX(IF($W452="",'Empieza aquí'!$D$8,$W452),$V453))</f>
        <v/>
      </c>
      <c r="X453" s="47" t="str">
        <f aca="false">IF($V453="","",$V453-$W453)</f>
        <v/>
      </c>
      <c r="Y453" s="3"/>
      <c r="Z453" s="3"/>
      <c r="AA453" s="3"/>
      <c r="AB453" s="3"/>
      <c r="AC453" s="3"/>
      <c r="AD453" s="3"/>
      <c r="AE453" s="3"/>
      <c r="AF453" s="3"/>
      <c r="AG453" s="3"/>
      <c r="AH453" s="3"/>
    </row>
    <row r="454" customFormat="false" ht="15" hidden="false" customHeight="true" outlineLevel="0" collapsed="false">
      <c r="A454" s="2"/>
      <c r="B454" s="36"/>
      <c r="C454" s="37"/>
      <c r="D454" s="37"/>
      <c r="E454" s="38"/>
      <c r="F454" s="39"/>
      <c r="G454" s="40" t="str">
        <f aca="false">IF(OR($E454="",$C454="",$D454=""),"",$E454*$D454*IFERROR(INDEX(Listas!$C$6:$C$20,MATCH($C454,Listas!$B$6:$B$20,0)),0)-$D454*IFERROR(INDEX(Listas!$D$6:$D$20,MATCH($C454,Listas!$B$6:$B$20,0)),0))</f>
        <v/>
      </c>
      <c r="H454" s="41" t="str">
        <f aca="false">IF(OR($F454="",$C454="",$D454=""),"",ABS($F454)*$D454*IFERROR(INDEX(Listas!$C$6:$C$20,MATCH($C454,Listas!$B$6:$B$20,0)),0))</f>
        <v/>
      </c>
      <c r="I454" s="42" t="str">
        <f aca="false">IF(OR($E454="",$F454="",$F454=0),"",$E454/ABS($F454))</f>
        <v/>
      </c>
      <c r="J454" s="43" t="str">
        <f aca="false">IF($B454="","",INDEX(Listas!$G$6:$G$12,WEEKDAY($B454,1)))</f>
        <v/>
      </c>
      <c r="K454" s="43" t="str">
        <f aca="false">IFERROR(IF($L454="","",TEXT(IF($L454&lt;1,HOUR($L454),INT($L454)),"00")&amp;":00"),"")</f>
        <v/>
      </c>
      <c r="L454" s="44"/>
      <c r="M454" s="45"/>
      <c r="N454" s="46"/>
      <c r="O454" s="45"/>
      <c r="P454" s="2"/>
      <c r="Q454" s="2"/>
      <c r="R454" s="2"/>
      <c r="S454" s="2"/>
      <c r="T454" s="2"/>
      <c r="U454" s="47" t="str">
        <f aca="false">IF($G454="","",IF($G454&lt;0,IF(N($U453)=0,1,$U453+1),0))</f>
        <v/>
      </c>
      <c r="V454" s="47" t="str">
        <f aca="false">IF($G454="","",IF($V453="",'Empieza aquí'!$D$8,$V453)+$G454)</f>
        <v/>
      </c>
      <c r="W454" s="47" t="str">
        <f aca="false">IF($V454="","",MAX(IF($W453="",'Empieza aquí'!$D$8,$W453),$V454))</f>
        <v/>
      </c>
      <c r="X454" s="47" t="str">
        <f aca="false">IF($V454="","",$V454-$W454)</f>
        <v/>
      </c>
      <c r="Y454" s="3"/>
      <c r="Z454" s="3"/>
      <c r="AA454" s="3"/>
      <c r="AB454" s="3"/>
      <c r="AC454" s="3"/>
      <c r="AD454" s="3"/>
      <c r="AE454" s="3"/>
      <c r="AF454" s="3"/>
      <c r="AG454" s="3"/>
      <c r="AH454" s="3"/>
    </row>
    <row r="455" customFormat="false" ht="15" hidden="false" customHeight="true" outlineLevel="0" collapsed="false">
      <c r="A455" s="2"/>
      <c r="B455" s="36"/>
      <c r="C455" s="37"/>
      <c r="D455" s="37"/>
      <c r="E455" s="38"/>
      <c r="F455" s="39"/>
      <c r="G455" s="40" t="str">
        <f aca="false">IF(OR($E455="",$C455="",$D455=""),"",$E455*$D455*IFERROR(INDEX(Listas!$C$6:$C$20,MATCH($C455,Listas!$B$6:$B$20,0)),0)-$D455*IFERROR(INDEX(Listas!$D$6:$D$20,MATCH($C455,Listas!$B$6:$B$20,0)),0))</f>
        <v/>
      </c>
      <c r="H455" s="41" t="str">
        <f aca="false">IF(OR($F455="",$C455="",$D455=""),"",ABS($F455)*$D455*IFERROR(INDEX(Listas!$C$6:$C$20,MATCH($C455,Listas!$B$6:$B$20,0)),0))</f>
        <v/>
      </c>
      <c r="I455" s="42" t="str">
        <f aca="false">IF(OR($E455="",$F455="",$F455=0),"",$E455/ABS($F455))</f>
        <v/>
      </c>
      <c r="J455" s="43" t="str">
        <f aca="false">IF($B455="","",INDEX(Listas!$G$6:$G$12,WEEKDAY($B455,1)))</f>
        <v/>
      </c>
      <c r="K455" s="43" t="str">
        <f aca="false">IFERROR(IF($L455="","",TEXT(IF($L455&lt;1,HOUR($L455),INT($L455)),"00")&amp;":00"),"")</f>
        <v/>
      </c>
      <c r="L455" s="44"/>
      <c r="M455" s="45"/>
      <c r="N455" s="46"/>
      <c r="O455" s="45"/>
      <c r="P455" s="2"/>
      <c r="Q455" s="2"/>
      <c r="R455" s="2"/>
      <c r="S455" s="2"/>
      <c r="T455" s="2"/>
      <c r="U455" s="47" t="str">
        <f aca="false">IF($G455="","",IF($G455&lt;0,IF(N($U454)=0,1,$U454+1),0))</f>
        <v/>
      </c>
      <c r="V455" s="47" t="str">
        <f aca="false">IF($G455="","",IF($V454="",'Empieza aquí'!$D$8,$V454)+$G455)</f>
        <v/>
      </c>
      <c r="W455" s="47" t="str">
        <f aca="false">IF($V455="","",MAX(IF($W454="",'Empieza aquí'!$D$8,$W454),$V455))</f>
        <v/>
      </c>
      <c r="X455" s="47" t="str">
        <f aca="false">IF($V455="","",$V455-$W455)</f>
        <v/>
      </c>
      <c r="Y455" s="3"/>
      <c r="Z455" s="3"/>
      <c r="AA455" s="3"/>
      <c r="AB455" s="3"/>
      <c r="AC455" s="3"/>
      <c r="AD455" s="3"/>
      <c r="AE455" s="3"/>
      <c r="AF455" s="3"/>
      <c r="AG455" s="3"/>
      <c r="AH455" s="3"/>
    </row>
    <row r="456" customFormat="false" ht="15" hidden="false" customHeight="true" outlineLevel="0" collapsed="false">
      <c r="A456" s="2"/>
      <c r="B456" s="36"/>
      <c r="C456" s="37"/>
      <c r="D456" s="37"/>
      <c r="E456" s="38"/>
      <c r="F456" s="39"/>
      <c r="G456" s="40" t="str">
        <f aca="false">IF(OR($E456="",$C456="",$D456=""),"",$E456*$D456*IFERROR(INDEX(Listas!$C$6:$C$20,MATCH($C456,Listas!$B$6:$B$20,0)),0)-$D456*IFERROR(INDEX(Listas!$D$6:$D$20,MATCH($C456,Listas!$B$6:$B$20,0)),0))</f>
        <v/>
      </c>
      <c r="H456" s="41" t="str">
        <f aca="false">IF(OR($F456="",$C456="",$D456=""),"",ABS($F456)*$D456*IFERROR(INDEX(Listas!$C$6:$C$20,MATCH($C456,Listas!$B$6:$B$20,0)),0))</f>
        <v/>
      </c>
      <c r="I456" s="42" t="str">
        <f aca="false">IF(OR($E456="",$F456="",$F456=0),"",$E456/ABS($F456))</f>
        <v/>
      </c>
      <c r="J456" s="43" t="str">
        <f aca="false">IF($B456="","",INDEX(Listas!$G$6:$G$12,WEEKDAY($B456,1)))</f>
        <v/>
      </c>
      <c r="K456" s="43" t="str">
        <f aca="false">IFERROR(IF($L456="","",TEXT(IF($L456&lt;1,HOUR($L456),INT($L456)),"00")&amp;":00"),"")</f>
        <v/>
      </c>
      <c r="L456" s="44"/>
      <c r="M456" s="45"/>
      <c r="N456" s="46"/>
      <c r="O456" s="45"/>
      <c r="P456" s="2"/>
      <c r="Q456" s="2"/>
      <c r="R456" s="2"/>
      <c r="S456" s="2"/>
      <c r="T456" s="2"/>
      <c r="U456" s="47" t="str">
        <f aca="false">IF($G456="","",IF($G456&lt;0,IF(N($U455)=0,1,$U455+1),0))</f>
        <v/>
      </c>
      <c r="V456" s="47" t="str">
        <f aca="false">IF($G456="","",IF($V455="",'Empieza aquí'!$D$8,$V455)+$G456)</f>
        <v/>
      </c>
      <c r="W456" s="47" t="str">
        <f aca="false">IF($V456="","",MAX(IF($W455="",'Empieza aquí'!$D$8,$W455),$V456))</f>
        <v/>
      </c>
      <c r="X456" s="47" t="str">
        <f aca="false">IF($V456="","",$V456-$W456)</f>
        <v/>
      </c>
      <c r="Y456" s="3"/>
      <c r="Z456" s="3"/>
      <c r="AA456" s="3"/>
      <c r="AB456" s="3"/>
      <c r="AC456" s="3"/>
      <c r="AD456" s="3"/>
      <c r="AE456" s="3"/>
      <c r="AF456" s="3"/>
      <c r="AG456" s="3"/>
      <c r="AH456" s="3"/>
    </row>
    <row r="457" customFormat="false" ht="15" hidden="false" customHeight="true" outlineLevel="0" collapsed="false">
      <c r="A457" s="2"/>
      <c r="B457" s="36"/>
      <c r="C457" s="37"/>
      <c r="D457" s="37"/>
      <c r="E457" s="38"/>
      <c r="F457" s="39"/>
      <c r="G457" s="40" t="str">
        <f aca="false">IF(OR($E457="",$C457="",$D457=""),"",$E457*$D457*IFERROR(INDEX(Listas!$C$6:$C$20,MATCH($C457,Listas!$B$6:$B$20,0)),0)-$D457*IFERROR(INDEX(Listas!$D$6:$D$20,MATCH($C457,Listas!$B$6:$B$20,0)),0))</f>
        <v/>
      </c>
      <c r="H457" s="41" t="str">
        <f aca="false">IF(OR($F457="",$C457="",$D457=""),"",ABS($F457)*$D457*IFERROR(INDEX(Listas!$C$6:$C$20,MATCH($C457,Listas!$B$6:$B$20,0)),0))</f>
        <v/>
      </c>
      <c r="I457" s="42" t="str">
        <f aca="false">IF(OR($E457="",$F457="",$F457=0),"",$E457/ABS($F457))</f>
        <v/>
      </c>
      <c r="J457" s="43" t="str">
        <f aca="false">IF($B457="","",INDEX(Listas!$G$6:$G$12,WEEKDAY($B457,1)))</f>
        <v/>
      </c>
      <c r="K457" s="43" t="str">
        <f aca="false">IFERROR(IF($L457="","",TEXT(IF($L457&lt;1,HOUR($L457),INT($L457)),"00")&amp;":00"),"")</f>
        <v/>
      </c>
      <c r="L457" s="44"/>
      <c r="M457" s="45"/>
      <c r="N457" s="46"/>
      <c r="O457" s="45"/>
      <c r="P457" s="2"/>
      <c r="Q457" s="2"/>
      <c r="R457" s="2"/>
      <c r="S457" s="2"/>
      <c r="T457" s="2"/>
      <c r="U457" s="47" t="str">
        <f aca="false">IF($G457="","",IF($G457&lt;0,IF(N($U456)=0,1,$U456+1),0))</f>
        <v/>
      </c>
      <c r="V457" s="47" t="str">
        <f aca="false">IF($G457="","",IF($V456="",'Empieza aquí'!$D$8,$V456)+$G457)</f>
        <v/>
      </c>
      <c r="W457" s="47" t="str">
        <f aca="false">IF($V457="","",MAX(IF($W456="",'Empieza aquí'!$D$8,$W456),$V457))</f>
        <v/>
      </c>
      <c r="X457" s="47" t="str">
        <f aca="false">IF($V457="","",$V457-$W457)</f>
        <v/>
      </c>
      <c r="Y457" s="3"/>
      <c r="Z457" s="3"/>
      <c r="AA457" s="3"/>
      <c r="AB457" s="3"/>
      <c r="AC457" s="3"/>
      <c r="AD457" s="3"/>
      <c r="AE457" s="3"/>
      <c r="AF457" s="3"/>
      <c r="AG457" s="3"/>
      <c r="AH457" s="3"/>
    </row>
    <row r="458" customFormat="false" ht="15" hidden="false" customHeight="true" outlineLevel="0" collapsed="false">
      <c r="A458" s="2"/>
      <c r="B458" s="36"/>
      <c r="C458" s="37"/>
      <c r="D458" s="37"/>
      <c r="E458" s="38"/>
      <c r="F458" s="39"/>
      <c r="G458" s="40" t="str">
        <f aca="false">IF(OR($E458="",$C458="",$D458=""),"",$E458*$D458*IFERROR(INDEX(Listas!$C$6:$C$20,MATCH($C458,Listas!$B$6:$B$20,0)),0)-$D458*IFERROR(INDEX(Listas!$D$6:$D$20,MATCH($C458,Listas!$B$6:$B$20,0)),0))</f>
        <v/>
      </c>
      <c r="H458" s="41" t="str">
        <f aca="false">IF(OR($F458="",$C458="",$D458=""),"",ABS($F458)*$D458*IFERROR(INDEX(Listas!$C$6:$C$20,MATCH($C458,Listas!$B$6:$B$20,0)),0))</f>
        <v/>
      </c>
      <c r="I458" s="42" t="str">
        <f aca="false">IF(OR($E458="",$F458="",$F458=0),"",$E458/ABS($F458))</f>
        <v/>
      </c>
      <c r="J458" s="43" t="str">
        <f aca="false">IF($B458="","",INDEX(Listas!$G$6:$G$12,WEEKDAY($B458,1)))</f>
        <v/>
      </c>
      <c r="K458" s="43" t="str">
        <f aca="false">IFERROR(IF($L458="","",TEXT(IF($L458&lt;1,HOUR($L458),INT($L458)),"00")&amp;":00"),"")</f>
        <v/>
      </c>
      <c r="L458" s="44"/>
      <c r="M458" s="45"/>
      <c r="N458" s="46"/>
      <c r="O458" s="45"/>
      <c r="P458" s="2"/>
      <c r="Q458" s="2"/>
      <c r="R458" s="2"/>
      <c r="S458" s="2"/>
      <c r="T458" s="2"/>
      <c r="U458" s="47" t="str">
        <f aca="false">IF($G458="","",IF($G458&lt;0,IF(N($U457)=0,1,$U457+1),0))</f>
        <v/>
      </c>
      <c r="V458" s="47" t="str">
        <f aca="false">IF($G458="","",IF($V457="",'Empieza aquí'!$D$8,$V457)+$G458)</f>
        <v/>
      </c>
      <c r="W458" s="47" t="str">
        <f aca="false">IF($V458="","",MAX(IF($W457="",'Empieza aquí'!$D$8,$W457),$V458))</f>
        <v/>
      </c>
      <c r="X458" s="47" t="str">
        <f aca="false">IF($V458="","",$V458-$W458)</f>
        <v/>
      </c>
      <c r="Y458" s="3"/>
      <c r="Z458" s="3"/>
      <c r="AA458" s="3"/>
      <c r="AB458" s="3"/>
      <c r="AC458" s="3"/>
      <c r="AD458" s="3"/>
      <c r="AE458" s="3"/>
      <c r="AF458" s="3"/>
      <c r="AG458" s="3"/>
      <c r="AH458" s="3"/>
    </row>
    <row r="459" customFormat="false" ht="15" hidden="false" customHeight="true" outlineLevel="0" collapsed="false">
      <c r="A459" s="2"/>
      <c r="B459" s="36"/>
      <c r="C459" s="37"/>
      <c r="D459" s="37"/>
      <c r="E459" s="38"/>
      <c r="F459" s="39"/>
      <c r="G459" s="40" t="str">
        <f aca="false">IF(OR($E459="",$C459="",$D459=""),"",$E459*$D459*IFERROR(INDEX(Listas!$C$6:$C$20,MATCH($C459,Listas!$B$6:$B$20,0)),0)-$D459*IFERROR(INDEX(Listas!$D$6:$D$20,MATCH($C459,Listas!$B$6:$B$20,0)),0))</f>
        <v/>
      </c>
      <c r="H459" s="41" t="str">
        <f aca="false">IF(OR($F459="",$C459="",$D459=""),"",ABS($F459)*$D459*IFERROR(INDEX(Listas!$C$6:$C$20,MATCH($C459,Listas!$B$6:$B$20,0)),0))</f>
        <v/>
      </c>
      <c r="I459" s="42" t="str">
        <f aca="false">IF(OR($E459="",$F459="",$F459=0),"",$E459/ABS($F459))</f>
        <v/>
      </c>
      <c r="J459" s="43" t="str">
        <f aca="false">IF($B459="","",INDEX(Listas!$G$6:$G$12,WEEKDAY($B459,1)))</f>
        <v/>
      </c>
      <c r="K459" s="43" t="str">
        <f aca="false">IFERROR(IF($L459="","",TEXT(IF($L459&lt;1,HOUR($L459),INT($L459)),"00")&amp;":00"),"")</f>
        <v/>
      </c>
      <c r="L459" s="44"/>
      <c r="M459" s="45"/>
      <c r="N459" s="46"/>
      <c r="O459" s="45"/>
      <c r="P459" s="2"/>
      <c r="Q459" s="2"/>
      <c r="R459" s="2"/>
      <c r="S459" s="2"/>
      <c r="T459" s="2"/>
      <c r="U459" s="47" t="str">
        <f aca="false">IF($G459="","",IF($G459&lt;0,IF(N($U458)=0,1,$U458+1),0))</f>
        <v/>
      </c>
      <c r="V459" s="47" t="str">
        <f aca="false">IF($G459="","",IF($V458="",'Empieza aquí'!$D$8,$V458)+$G459)</f>
        <v/>
      </c>
      <c r="W459" s="47" t="str">
        <f aca="false">IF($V459="","",MAX(IF($W458="",'Empieza aquí'!$D$8,$W458),$V459))</f>
        <v/>
      </c>
      <c r="X459" s="47" t="str">
        <f aca="false">IF($V459="","",$V459-$W459)</f>
        <v/>
      </c>
      <c r="Y459" s="3"/>
      <c r="Z459" s="3"/>
      <c r="AA459" s="3"/>
      <c r="AB459" s="3"/>
      <c r="AC459" s="3"/>
      <c r="AD459" s="3"/>
      <c r="AE459" s="3"/>
      <c r="AF459" s="3"/>
      <c r="AG459" s="3"/>
      <c r="AH459" s="3"/>
    </row>
    <row r="460" customFormat="false" ht="15" hidden="false" customHeight="true" outlineLevel="0" collapsed="false">
      <c r="A460" s="2"/>
      <c r="B460" s="36"/>
      <c r="C460" s="37"/>
      <c r="D460" s="37"/>
      <c r="E460" s="38"/>
      <c r="F460" s="39"/>
      <c r="G460" s="40" t="str">
        <f aca="false">IF(OR($E460="",$C460="",$D460=""),"",$E460*$D460*IFERROR(INDEX(Listas!$C$6:$C$20,MATCH($C460,Listas!$B$6:$B$20,0)),0)-$D460*IFERROR(INDEX(Listas!$D$6:$D$20,MATCH($C460,Listas!$B$6:$B$20,0)),0))</f>
        <v/>
      </c>
      <c r="H460" s="41" t="str">
        <f aca="false">IF(OR($F460="",$C460="",$D460=""),"",ABS($F460)*$D460*IFERROR(INDEX(Listas!$C$6:$C$20,MATCH($C460,Listas!$B$6:$B$20,0)),0))</f>
        <v/>
      </c>
      <c r="I460" s="42" t="str">
        <f aca="false">IF(OR($E460="",$F460="",$F460=0),"",$E460/ABS($F460))</f>
        <v/>
      </c>
      <c r="J460" s="43" t="str">
        <f aca="false">IF($B460="","",INDEX(Listas!$G$6:$G$12,WEEKDAY($B460,1)))</f>
        <v/>
      </c>
      <c r="K460" s="43" t="str">
        <f aca="false">IFERROR(IF($L460="","",TEXT(IF($L460&lt;1,HOUR($L460),INT($L460)),"00")&amp;":00"),"")</f>
        <v/>
      </c>
      <c r="L460" s="44"/>
      <c r="M460" s="45"/>
      <c r="N460" s="46"/>
      <c r="O460" s="45"/>
      <c r="P460" s="2"/>
      <c r="Q460" s="2"/>
      <c r="R460" s="2"/>
      <c r="S460" s="2"/>
      <c r="T460" s="2"/>
      <c r="U460" s="47" t="str">
        <f aca="false">IF($G460="","",IF($G460&lt;0,IF(N($U459)=0,1,$U459+1),0))</f>
        <v/>
      </c>
      <c r="V460" s="47" t="str">
        <f aca="false">IF($G460="","",IF($V459="",'Empieza aquí'!$D$8,$V459)+$G460)</f>
        <v/>
      </c>
      <c r="W460" s="47" t="str">
        <f aca="false">IF($V460="","",MAX(IF($W459="",'Empieza aquí'!$D$8,$W459),$V460))</f>
        <v/>
      </c>
      <c r="X460" s="47" t="str">
        <f aca="false">IF($V460="","",$V460-$W460)</f>
        <v/>
      </c>
      <c r="Y460" s="3"/>
      <c r="Z460" s="3"/>
      <c r="AA460" s="3"/>
      <c r="AB460" s="3"/>
      <c r="AC460" s="3"/>
      <c r="AD460" s="3"/>
      <c r="AE460" s="3"/>
      <c r="AF460" s="3"/>
      <c r="AG460" s="3"/>
      <c r="AH460" s="3"/>
    </row>
    <row r="461" customFormat="false" ht="15" hidden="false" customHeight="true" outlineLevel="0" collapsed="false">
      <c r="A461" s="2"/>
      <c r="B461" s="36"/>
      <c r="C461" s="37"/>
      <c r="D461" s="37"/>
      <c r="E461" s="38"/>
      <c r="F461" s="39"/>
      <c r="G461" s="40" t="str">
        <f aca="false">IF(OR($E461="",$C461="",$D461=""),"",$E461*$D461*IFERROR(INDEX(Listas!$C$6:$C$20,MATCH($C461,Listas!$B$6:$B$20,0)),0)-$D461*IFERROR(INDEX(Listas!$D$6:$D$20,MATCH($C461,Listas!$B$6:$B$20,0)),0))</f>
        <v/>
      </c>
      <c r="H461" s="41" t="str">
        <f aca="false">IF(OR($F461="",$C461="",$D461=""),"",ABS($F461)*$D461*IFERROR(INDEX(Listas!$C$6:$C$20,MATCH($C461,Listas!$B$6:$B$20,0)),0))</f>
        <v/>
      </c>
      <c r="I461" s="42" t="str">
        <f aca="false">IF(OR($E461="",$F461="",$F461=0),"",$E461/ABS($F461))</f>
        <v/>
      </c>
      <c r="J461" s="43" t="str">
        <f aca="false">IF($B461="","",INDEX(Listas!$G$6:$G$12,WEEKDAY($B461,1)))</f>
        <v/>
      </c>
      <c r="K461" s="43" t="str">
        <f aca="false">IFERROR(IF($L461="","",TEXT(IF($L461&lt;1,HOUR($L461),INT($L461)),"00")&amp;":00"),"")</f>
        <v/>
      </c>
      <c r="L461" s="44"/>
      <c r="M461" s="45"/>
      <c r="N461" s="46"/>
      <c r="O461" s="45"/>
      <c r="P461" s="2"/>
      <c r="Q461" s="2"/>
      <c r="R461" s="2"/>
      <c r="S461" s="2"/>
      <c r="T461" s="2"/>
      <c r="U461" s="47" t="str">
        <f aca="false">IF($G461="","",IF($G461&lt;0,IF(N($U460)=0,1,$U460+1),0))</f>
        <v/>
      </c>
      <c r="V461" s="47" t="str">
        <f aca="false">IF($G461="","",IF($V460="",'Empieza aquí'!$D$8,$V460)+$G461)</f>
        <v/>
      </c>
      <c r="W461" s="47" t="str">
        <f aca="false">IF($V461="","",MAX(IF($W460="",'Empieza aquí'!$D$8,$W460),$V461))</f>
        <v/>
      </c>
      <c r="X461" s="47" t="str">
        <f aca="false">IF($V461="","",$V461-$W461)</f>
        <v/>
      </c>
      <c r="Y461" s="3"/>
      <c r="Z461" s="3"/>
      <c r="AA461" s="3"/>
      <c r="AB461" s="3"/>
      <c r="AC461" s="3"/>
      <c r="AD461" s="3"/>
      <c r="AE461" s="3"/>
      <c r="AF461" s="3"/>
      <c r="AG461" s="3"/>
      <c r="AH461" s="3"/>
    </row>
    <row r="462" customFormat="false" ht="15" hidden="false" customHeight="true" outlineLevel="0" collapsed="false">
      <c r="A462" s="2"/>
      <c r="B462" s="36"/>
      <c r="C462" s="37"/>
      <c r="D462" s="37"/>
      <c r="E462" s="38"/>
      <c r="F462" s="39"/>
      <c r="G462" s="40" t="str">
        <f aca="false">IF(OR($E462="",$C462="",$D462=""),"",$E462*$D462*IFERROR(INDEX(Listas!$C$6:$C$20,MATCH($C462,Listas!$B$6:$B$20,0)),0)-$D462*IFERROR(INDEX(Listas!$D$6:$D$20,MATCH($C462,Listas!$B$6:$B$20,0)),0))</f>
        <v/>
      </c>
      <c r="H462" s="41" t="str">
        <f aca="false">IF(OR($F462="",$C462="",$D462=""),"",ABS($F462)*$D462*IFERROR(INDEX(Listas!$C$6:$C$20,MATCH($C462,Listas!$B$6:$B$20,0)),0))</f>
        <v/>
      </c>
      <c r="I462" s="42" t="str">
        <f aca="false">IF(OR($E462="",$F462="",$F462=0),"",$E462/ABS($F462))</f>
        <v/>
      </c>
      <c r="J462" s="43" t="str">
        <f aca="false">IF($B462="","",INDEX(Listas!$G$6:$G$12,WEEKDAY($B462,1)))</f>
        <v/>
      </c>
      <c r="K462" s="43" t="str">
        <f aca="false">IFERROR(IF($L462="","",TEXT(IF($L462&lt;1,HOUR($L462),INT($L462)),"00")&amp;":00"),"")</f>
        <v/>
      </c>
      <c r="L462" s="44"/>
      <c r="M462" s="45"/>
      <c r="N462" s="46"/>
      <c r="O462" s="45"/>
      <c r="P462" s="2"/>
      <c r="Q462" s="2"/>
      <c r="R462" s="2"/>
      <c r="S462" s="2"/>
      <c r="T462" s="2"/>
      <c r="U462" s="47" t="str">
        <f aca="false">IF($G462="","",IF($G462&lt;0,IF(N($U461)=0,1,$U461+1),0))</f>
        <v/>
      </c>
      <c r="V462" s="47" t="str">
        <f aca="false">IF($G462="","",IF($V461="",'Empieza aquí'!$D$8,$V461)+$G462)</f>
        <v/>
      </c>
      <c r="W462" s="47" t="str">
        <f aca="false">IF($V462="","",MAX(IF($W461="",'Empieza aquí'!$D$8,$W461),$V462))</f>
        <v/>
      </c>
      <c r="X462" s="47" t="str">
        <f aca="false">IF($V462="","",$V462-$W462)</f>
        <v/>
      </c>
      <c r="Y462" s="3"/>
      <c r="Z462" s="3"/>
      <c r="AA462" s="3"/>
      <c r="AB462" s="3"/>
      <c r="AC462" s="3"/>
      <c r="AD462" s="3"/>
      <c r="AE462" s="3"/>
      <c r="AF462" s="3"/>
      <c r="AG462" s="3"/>
      <c r="AH462" s="3"/>
    </row>
    <row r="463" customFormat="false" ht="15" hidden="false" customHeight="true" outlineLevel="0" collapsed="false">
      <c r="A463" s="2"/>
      <c r="B463" s="36"/>
      <c r="C463" s="37"/>
      <c r="D463" s="37"/>
      <c r="E463" s="38"/>
      <c r="F463" s="39"/>
      <c r="G463" s="40" t="str">
        <f aca="false">IF(OR($E463="",$C463="",$D463=""),"",$E463*$D463*IFERROR(INDEX(Listas!$C$6:$C$20,MATCH($C463,Listas!$B$6:$B$20,0)),0)-$D463*IFERROR(INDEX(Listas!$D$6:$D$20,MATCH($C463,Listas!$B$6:$B$20,0)),0))</f>
        <v/>
      </c>
      <c r="H463" s="41" t="str">
        <f aca="false">IF(OR($F463="",$C463="",$D463=""),"",ABS($F463)*$D463*IFERROR(INDEX(Listas!$C$6:$C$20,MATCH($C463,Listas!$B$6:$B$20,0)),0))</f>
        <v/>
      </c>
      <c r="I463" s="42" t="str">
        <f aca="false">IF(OR($E463="",$F463="",$F463=0),"",$E463/ABS($F463))</f>
        <v/>
      </c>
      <c r="J463" s="43" t="str">
        <f aca="false">IF($B463="","",INDEX(Listas!$G$6:$G$12,WEEKDAY($B463,1)))</f>
        <v/>
      </c>
      <c r="K463" s="43" t="str">
        <f aca="false">IFERROR(IF($L463="","",TEXT(IF($L463&lt;1,HOUR($L463),INT($L463)),"00")&amp;":00"),"")</f>
        <v/>
      </c>
      <c r="L463" s="44"/>
      <c r="M463" s="45"/>
      <c r="N463" s="46"/>
      <c r="O463" s="45"/>
      <c r="P463" s="2"/>
      <c r="Q463" s="2"/>
      <c r="R463" s="2"/>
      <c r="S463" s="2"/>
      <c r="T463" s="2"/>
      <c r="U463" s="47" t="str">
        <f aca="false">IF($G463="","",IF($G463&lt;0,IF(N($U462)=0,1,$U462+1),0))</f>
        <v/>
      </c>
      <c r="V463" s="47" t="str">
        <f aca="false">IF($G463="","",IF($V462="",'Empieza aquí'!$D$8,$V462)+$G463)</f>
        <v/>
      </c>
      <c r="W463" s="47" t="str">
        <f aca="false">IF($V463="","",MAX(IF($W462="",'Empieza aquí'!$D$8,$W462),$V463))</f>
        <v/>
      </c>
      <c r="X463" s="47" t="str">
        <f aca="false">IF($V463="","",$V463-$W463)</f>
        <v/>
      </c>
      <c r="Y463" s="3"/>
      <c r="Z463" s="3"/>
      <c r="AA463" s="3"/>
      <c r="AB463" s="3"/>
      <c r="AC463" s="3"/>
      <c r="AD463" s="3"/>
      <c r="AE463" s="3"/>
      <c r="AF463" s="3"/>
      <c r="AG463" s="3"/>
      <c r="AH463" s="3"/>
    </row>
    <row r="464" customFormat="false" ht="15" hidden="false" customHeight="true" outlineLevel="0" collapsed="false">
      <c r="A464" s="2"/>
      <c r="B464" s="36"/>
      <c r="C464" s="37"/>
      <c r="D464" s="37"/>
      <c r="E464" s="38"/>
      <c r="F464" s="39"/>
      <c r="G464" s="40" t="str">
        <f aca="false">IF(OR($E464="",$C464="",$D464=""),"",$E464*$D464*IFERROR(INDEX(Listas!$C$6:$C$20,MATCH($C464,Listas!$B$6:$B$20,0)),0)-$D464*IFERROR(INDEX(Listas!$D$6:$D$20,MATCH($C464,Listas!$B$6:$B$20,0)),0))</f>
        <v/>
      </c>
      <c r="H464" s="41" t="str">
        <f aca="false">IF(OR($F464="",$C464="",$D464=""),"",ABS($F464)*$D464*IFERROR(INDEX(Listas!$C$6:$C$20,MATCH($C464,Listas!$B$6:$B$20,0)),0))</f>
        <v/>
      </c>
      <c r="I464" s="42" t="str">
        <f aca="false">IF(OR($E464="",$F464="",$F464=0),"",$E464/ABS($F464))</f>
        <v/>
      </c>
      <c r="J464" s="43" t="str">
        <f aca="false">IF($B464="","",INDEX(Listas!$G$6:$G$12,WEEKDAY($B464,1)))</f>
        <v/>
      </c>
      <c r="K464" s="43" t="str">
        <f aca="false">IFERROR(IF($L464="","",TEXT(IF($L464&lt;1,HOUR($L464),INT($L464)),"00")&amp;":00"),"")</f>
        <v/>
      </c>
      <c r="L464" s="44"/>
      <c r="M464" s="45"/>
      <c r="N464" s="46"/>
      <c r="O464" s="45"/>
      <c r="P464" s="2"/>
      <c r="Q464" s="2"/>
      <c r="R464" s="2"/>
      <c r="S464" s="2"/>
      <c r="T464" s="2"/>
      <c r="U464" s="47" t="str">
        <f aca="false">IF($G464="","",IF($G464&lt;0,IF(N($U463)=0,1,$U463+1),0))</f>
        <v/>
      </c>
      <c r="V464" s="47" t="str">
        <f aca="false">IF($G464="","",IF($V463="",'Empieza aquí'!$D$8,$V463)+$G464)</f>
        <v/>
      </c>
      <c r="W464" s="47" t="str">
        <f aca="false">IF($V464="","",MAX(IF($W463="",'Empieza aquí'!$D$8,$W463),$V464))</f>
        <v/>
      </c>
      <c r="X464" s="47" t="str">
        <f aca="false">IF($V464="","",$V464-$W464)</f>
        <v/>
      </c>
      <c r="Y464" s="3"/>
      <c r="Z464" s="3"/>
      <c r="AA464" s="3"/>
      <c r="AB464" s="3"/>
      <c r="AC464" s="3"/>
      <c r="AD464" s="3"/>
      <c r="AE464" s="3"/>
      <c r="AF464" s="3"/>
      <c r="AG464" s="3"/>
      <c r="AH464" s="3"/>
    </row>
    <row r="465" customFormat="false" ht="15" hidden="false" customHeight="true" outlineLevel="0" collapsed="false">
      <c r="A465" s="2"/>
      <c r="B465" s="36"/>
      <c r="C465" s="37"/>
      <c r="D465" s="37"/>
      <c r="E465" s="38"/>
      <c r="F465" s="39"/>
      <c r="G465" s="40" t="str">
        <f aca="false">IF(OR($E465="",$C465="",$D465=""),"",$E465*$D465*IFERROR(INDEX(Listas!$C$6:$C$20,MATCH($C465,Listas!$B$6:$B$20,0)),0)-$D465*IFERROR(INDEX(Listas!$D$6:$D$20,MATCH($C465,Listas!$B$6:$B$20,0)),0))</f>
        <v/>
      </c>
      <c r="H465" s="41" t="str">
        <f aca="false">IF(OR($F465="",$C465="",$D465=""),"",ABS($F465)*$D465*IFERROR(INDEX(Listas!$C$6:$C$20,MATCH($C465,Listas!$B$6:$B$20,0)),0))</f>
        <v/>
      </c>
      <c r="I465" s="42" t="str">
        <f aca="false">IF(OR($E465="",$F465="",$F465=0),"",$E465/ABS($F465))</f>
        <v/>
      </c>
      <c r="J465" s="43" t="str">
        <f aca="false">IF($B465="","",INDEX(Listas!$G$6:$G$12,WEEKDAY($B465,1)))</f>
        <v/>
      </c>
      <c r="K465" s="43" t="str">
        <f aca="false">IFERROR(IF($L465="","",TEXT(IF($L465&lt;1,HOUR($L465),INT($L465)),"00")&amp;":00"),"")</f>
        <v/>
      </c>
      <c r="L465" s="44"/>
      <c r="M465" s="45"/>
      <c r="N465" s="46"/>
      <c r="O465" s="45"/>
      <c r="P465" s="2"/>
      <c r="Q465" s="2"/>
      <c r="R465" s="2"/>
      <c r="S465" s="2"/>
      <c r="T465" s="2"/>
      <c r="U465" s="47" t="str">
        <f aca="false">IF($G465="","",IF($G465&lt;0,IF(N($U464)=0,1,$U464+1),0))</f>
        <v/>
      </c>
      <c r="V465" s="47" t="str">
        <f aca="false">IF($G465="","",IF($V464="",'Empieza aquí'!$D$8,$V464)+$G465)</f>
        <v/>
      </c>
      <c r="W465" s="47" t="str">
        <f aca="false">IF($V465="","",MAX(IF($W464="",'Empieza aquí'!$D$8,$W464),$V465))</f>
        <v/>
      </c>
      <c r="X465" s="47" t="str">
        <f aca="false">IF($V465="","",$V465-$W465)</f>
        <v/>
      </c>
      <c r="Y465" s="3"/>
      <c r="Z465" s="3"/>
      <c r="AA465" s="3"/>
      <c r="AB465" s="3"/>
      <c r="AC465" s="3"/>
      <c r="AD465" s="3"/>
      <c r="AE465" s="3"/>
      <c r="AF465" s="3"/>
      <c r="AG465" s="3"/>
      <c r="AH465" s="3"/>
    </row>
    <row r="466" customFormat="false" ht="15" hidden="false" customHeight="true" outlineLevel="0" collapsed="false">
      <c r="A466" s="2"/>
      <c r="B466" s="36"/>
      <c r="C466" s="37"/>
      <c r="D466" s="37"/>
      <c r="E466" s="38"/>
      <c r="F466" s="39"/>
      <c r="G466" s="40" t="str">
        <f aca="false">IF(OR($E466="",$C466="",$D466=""),"",$E466*$D466*IFERROR(INDEX(Listas!$C$6:$C$20,MATCH($C466,Listas!$B$6:$B$20,0)),0)-$D466*IFERROR(INDEX(Listas!$D$6:$D$20,MATCH($C466,Listas!$B$6:$B$20,0)),0))</f>
        <v/>
      </c>
      <c r="H466" s="41" t="str">
        <f aca="false">IF(OR($F466="",$C466="",$D466=""),"",ABS($F466)*$D466*IFERROR(INDEX(Listas!$C$6:$C$20,MATCH($C466,Listas!$B$6:$B$20,0)),0))</f>
        <v/>
      </c>
      <c r="I466" s="42" t="str">
        <f aca="false">IF(OR($E466="",$F466="",$F466=0),"",$E466/ABS($F466))</f>
        <v/>
      </c>
      <c r="J466" s="43" t="str">
        <f aca="false">IF($B466="","",INDEX(Listas!$G$6:$G$12,WEEKDAY($B466,1)))</f>
        <v/>
      </c>
      <c r="K466" s="43" t="str">
        <f aca="false">IFERROR(IF($L466="","",TEXT(IF($L466&lt;1,HOUR($L466),INT($L466)),"00")&amp;":00"),"")</f>
        <v/>
      </c>
      <c r="L466" s="44"/>
      <c r="M466" s="45"/>
      <c r="N466" s="46"/>
      <c r="O466" s="45"/>
      <c r="P466" s="2"/>
      <c r="Q466" s="2"/>
      <c r="R466" s="2"/>
      <c r="S466" s="2"/>
      <c r="T466" s="2"/>
      <c r="U466" s="47" t="str">
        <f aca="false">IF($G466="","",IF($G466&lt;0,IF(N($U465)=0,1,$U465+1),0))</f>
        <v/>
      </c>
      <c r="V466" s="47" t="str">
        <f aca="false">IF($G466="","",IF($V465="",'Empieza aquí'!$D$8,$V465)+$G466)</f>
        <v/>
      </c>
      <c r="W466" s="47" t="str">
        <f aca="false">IF($V466="","",MAX(IF($W465="",'Empieza aquí'!$D$8,$W465),$V466))</f>
        <v/>
      </c>
      <c r="X466" s="47" t="str">
        <f aca="false">IF($V466="","",$V466-$W466)</f>
        <v/>
      </c>
      <c r="Y466" s="3"/>
      <c r="Z466" s="3"/>
      <c r="AA466" s="3"/>
      <c r="AB466" s="3"/>
      <c r="AC466" s="3"/>
      <c r="AD466" s="3"/>
      <c r="AE466" s="3"/>
      <c r="AF466" s="3"/>
      <c r="AG466" s="3"/>
      <c r="AH466" s="3"/>
    </row>
    <row r="467" customFormat="false" ht="15" hidden="false" customHeight="true" outlineLevel="0" collapsed="false">
      <c r="A467" s="2"/>
      <c r="B467" s="36"/>
      <c r="C467" s="37"/>
      <c r="D467" s="37"/>
      <c r="E467" s="38"/>
      <c r="F467" s="39"/>
      <c r="G467" s="40" t="str">
        <f aca="false">IF(OR($E467="",$C467="",$D467=""),"",$E467*$D467*IFERROR(INDEX(Listas!$C$6:$C$20,MATCH($C467,Listas!$B$6:$B$20,0)),0)-$D467*IFERROR(INDEX(Listas!$D$6:$D$20,MATCH($C467,Listas!$B$6:$B$20,0)),0))</f>
        <v/>
      </c>
      <c r="H467" s="41" t="str">
        <f aca="false">IF(OR($F467="",$C467="",$D467=""),"",ABS($F467)*$D467*IFERROR(INDEX(Listas!$C$6:$C$20,MATCH($C467,Listas!$B$6:$B$20,0)),0))</f>
        <v/>
      </c>
      <c r="I467" s="42" t="str">
        <f aca="false">IF(OR($E467="",$F467="",$F467=0),"",$E467/ABS($F467))</f>
        <v/>
      </c>
      <c r="J467" s="43" t="str">
        <f aca="false">IF($B467="","",INDEX(Listas!$G$6:$G$12,WEEKDAY($B467,1)))</f>
        <v/>
      </c>
      <c r="K467" s="43" t="str">
        <f aca="false">IFERROR(IF($L467="","",TEXT(IF($L467&lt;1,HOUR($L467),INT($L467)),"00")&amp;":00"),"")</f>
        <v/>
      </c>
      <c r="L467" s="44"/>
      <c r="M467" s="45"/>
      <c r="N467" s="46"/>
      <c r="O467" s="45"/>
      <c r="P467" s="2"/>
      <c r="Q467" s="2"/>
      <c r="R467" s="2"/>
      <c r="S467" s="2"/>
      <c r="T467" s="2"/>
      <c r="U467" s="47" t="str">
        <f aca="false">IF($G467="","",IF($G467&lt;0,IF(N($U466)=0,1,$U466+1),0))</f>
        <v/>
      </c>
      <c r="V467" s="47" t="str">
        <f aca="false">IF($G467="","",IF($V466="",'Empieza aquí'!$D$8,$V466)+$G467)</f>
        <v/>
      </c>
      <c r="W467" s="47" t="str">
        <f aca="false">IF($V467="","",MAX(IF($W466="",'Empieza aquí'!$D$8,$W466),$V467))</f>
        <v/>
      </c>
      <c r="X467" s="47" t="str">
        <f aca="false">IF($V467="","",$V467-$W467)</f>
        <v/>
      </c>
      <c r="Y467" s="3"/>
      <c r="Z467" s="3"/>
      <c r="AA467" s="3"/>
      <c r="AB467" s="3"/>
      <c r="AC467" s="3"/>
      <c r="AD467" s="3"/>
      <c r="AE467" s="3"/>
      <c r="AF467" s="3"/>
      <c r="AG467" s="3"/>
      <c r="AH467" s="3"/>
    </row>
    <row r="468" customFormat="false" ht="15" hidden="false" customHeight="true" outlineLevel="0" collapsed="false">
      <c r="A468" s="2"/>
      <c r="B468" s="36"/>
      <c r="C468" s="37"/>
      <c r="D468" s="37"/>
      <c r="E468" s="38"/>
      <c r="F468" s="39"/>
      <c r="G468" s="40" t="str">
        <f aca="false">IF(OR($E468="",$C468="",$D468=""),"",$E468*$D468*IFERROR(INDEX(Listas!$C$6:$C$20,MATCH($C468,Listas!$B$6:$B$20,0)),0)-$D468*IFERROR(INDEX(Listas!$D$6:$D$20,MATCH($C468,Listas!$B$6:$B$20,0)),0))</f>
        <v/>
      </c>
      <c r="H468" s="41" t="str">
        <f aca="false">IF(OR($F468="",$C468="",$D468=""),"",ABS($F468)*$D468*IFERROR(INDEX(Listas!$C$6:$C$20,MATCH($C468,Listas!$B$6:$B$20,0)),0))</f>
        <v/>
      </c>
      <c r="I468" s="42" t="str">
        <f aca="false">IF(OR($E468="",$F468="",$F468=0),"",$E468/ABS($F468))</f>
        <v/>
      </c>
      <c r="J468" s="43" t="str">
        <f aca="false">IF($B468="","",INDEX(Listas!$G$6:$G$12,WEEKDAY($B468,1)))</f>
        <v/>
      </c>
      <c r="K468" s="43" t="str">
        <f aca="false">IFERROR(IF($L468="","",TEXT(IF($L468&lt;1,HOUR($L468),INT($L468)),"00")&amp;":00"),"")</f>
        <v/>
      </c>
      <c r="L468" s="44"/>
      <c r="M468" s="45"/>
      <c r="N468" s="46"/>
      <c r="O468" s="45"/>
      <c r="P468" s="2"/>
      <c r="Q468" s="2"/>
      <c r="R468" s="2"/>
      <c r="S468" s="2"/>
      <c r="T468" s="2"/>
      <c r="U468" s="47" t="str">
        <f aca="false">IF($G468="","",IF($G468&lt;0,IF(N($U467)=0,1,$U467+1),0))</f>
        <v/>
      </c>
      <c r="V468" s="47" t="str">
        <f aca="false">IF($G468="","",IF($V467="",'Empieza aquí'!$D$8,$V467)+$G468)</f>
        <v/>
      </c>
      <c r="W468" s="47" t="str">
        <f aca="false">IF($V468="","",MAX(IF($W467="",'Empieza aquí'!$D$8,$W467),$V468))</f>
        <v/>
      </c>
      <c r="X468" s="47" t="str">
        <f aca="false">IF($V468="","",$V468-$W468)</f>
        <v/>
      </c>
      <c r="Y468" s="3"/>
      <c r="Z468" s="3"/>
      <c r="AA468" s="3"/>
      <c r="AB468" s="3"/>
      <c r="AC468" s="3"/>
      <c r="AD468" s="3"/>
      <c r="AE468" s="3"/>
      <c r="AF468" s="3"/>
      <c r="AG468" s="3"/>
      <c r="AH468" s="3"/>
    </row>
    <row r="469" customFormat="false" ht="15" hidden="false" customHeight="true" outlineLevel="0" collapsed="false">
      <c r="A469" s="2"/>
      <c r="B469" s="36"/>
      <c r="C469" s="37"/>
      <c r="D469" s="37"/>
      <c r="E469" s="38"/>
      <c r="F469" s="39"/>
      <c r="G469" s="40" t="str">
        <f aca="false">IF(OR($E469="",$C469="",$D469=""),"",$E469*$D469*IFERROR(INDEX(Listas!$C$6:$C$20,MATCH($C469,Listas!$B$6:$B$20,0)),0)-$D469*IFERROR(INDEX(Listas!$D$6:$D$20,MATCH($C469,Listas!$B$6:$B$20,0)),0))</f>
        <v/>
      </c>
      <c r="H469" s="41" t="str">
        <f aca="false">IF(OR($F469="",$C469="",$D469=""),"",ABS($F469)*$D469*IFERROR(INDEX(Listas!$C$6:$C$20,MATCH($C469,Listas!$B$6:$B$20,0)),0))</f>
        <v/>
      </c>
      <c r="I469" s="42" t="str">
        <f aca="false">IF(OR($E469="",$F469="",$F469=0),"",$E469/ABS($F469))</f>
        <v/>
      </c>
      <c r="J469" s="43" t="str">
        <f aca="false">IF($B469="","",INDEX(Listas!$G$6:$G$12,WEEKDAY($B469,1)))</f>
        <v/>
      </c>
      <c r="K469" s="43" t="str">
        <f aca="false">IFERROR(IF($L469="","",TEXT(IF($L469&lt;1,HOUR($L469),INT($L469)),"00")&amp;":00"),"")</f>
        <v/>
      </c>
      <c r="L469" s="44"/>
      <c r="M469" s="45"/>
      <c r="N469" s="46"/>
      <c r="O469" s="45"/>
      <c r="P469" s="2"/>
      <c r="Q469" s="2"/>
      <c r="R469" s="2"/>
      <c r="S469" s="2"/>
      <c r="T469" s="2"/>
      <c r="U469" s="47" t="str">
        <f aca="false">IF($G469="","",IF($G469&lt;0,IF(N($U468)=0,1,$U468+1),0))</f>
        <v/>
      </c>
      <c r="V469" s="47" t="str">
        <f aca="false">IF($G469="","",IF($V468="",'Empieza aquí'!$D$8,$V468)+$G469)</f>
        <v/>
      </c>
      <c r="W469" s="47" t="str">
        <f aca="false">IF($V469="","",MAX(IF($W468="",'Empieza aquí'!$D$8,$W468),$V469))</f>
        <v/>
      </c>
      <c r="X469" s="47" t="str">
        <f aca="false">IF($V469="","",$V469-$W469)</f>
        <v/>
      </c>
      <c r="Y469" s="3"/>
      <c r="Z469" s="3"/>
      <c r="AA469" s="3"/>
      <c r="AB469" s="3"/>
      <c r="AC469" s="3"/>
      <c r="AD469" s="3"/>
      <c r="AE469" s="3"/>
      <c r="AF469" s="3"/>
      <c r="AG469" s="3"/>
      <c r="AH469" s="3"/>
    </row>
    <row r="470" customFormat="false" ht="15" hidden="false" customHeight="true" outlineLevel="0" collapsed="false">
      <c r="A470" s="2"/>
      <c r="B470" s="36"/>
      <c r="C470" s="37"/>
      <c r="D470" s="37"/>
      <c r="E470" s="38"/>
      <c r="F470" s="39"/>
      <c r="G470" s="40" t="str">
        <f aca="false">IF(OR($E470="",$C470="",$D470=""),"",$E470*$D470*IFERROR(INDEX(Listas!$C$6:$C$20,MATCH($C470,Listas!$B$6:$B$20,0)),0)-$D470*IFERROR(INDEX(Listas!$D$6:$D$20,MATCH($C470,Listas!$B$6:$B$20,0)),0))</f>
        <v/>
      </c>
      <c r="H470" s="41" t="str">
        <f aca="false">IF(OR($F470="",$C470="",$D470=""),"",ABS($F470)*$D470*IFERROR(INDEX(Listas!$C$6:$C$20,MATCH($C470,Listas!$B$6:$B$20,0)),0))</f>
        <v/>
      </c>
      <c r="I470" s="42" t="str">
        <f aca="false">IF(OR($E470="",$F470="",$F470=0),"",$E470/ABS($F470))</f>
        <v/>
      </c>
      <c r="J470" s="43" t="str">
        <f aca="false">IF($B470="","",INDEX(Listas!$G$6:$G$12,WEEKDAY($B470,1)))</f>
        <v/>
      </c>
      <c r="K470" s="43" t="str">
        <f aca="false">IFERROR(IF($L470="","",TEXT(IF($L470&lt;1,HOUR($L470),INT($L470)),"00")&amp;":00"),"")</f>
        <v/>
      </c>
      <c r="L470" s="44"/>
      <c r="M470" s="45"/>
      <c r="N470" s="46"/>
      <c r="O470" s="45"/>
      <c r="P470" s="2"/>
      <c r="Q470" s="2"/>
      <c r="R470" s="2"/>
      <c r="S470" s="2"/>
      <c r="T470" s="2"/>
      <c r="U470" s="47" t="str">
        <f aca="false">IF($G470="","",IF($G470&lt;0,IF(N($U469)=0,1,$U469+1),0))</f>
        <v/>
      </c>
      <c r="V470" s="47" t="str">
        <f aca="false">IF($G470="","",IF($V469="",'Empieza aquí'!$D$8,$V469)+$G470)</f>
        <v/>
      </c>
      <c r="W470" s="47" t="str">
        <f aca="false">IF($V470="","",MAX(IF($W469="",'Empieza aquí'!$D$8,$W469),$V470))</f>
        <v/>
      </c>
      <c r="X470" s="47" t="str">
        <f aca="false">IF($V470="","",$V470-$W470)</f>
        <v/>
      </c>
      <c r="Y470" s="3"/>
      <c r="Z470" s="3"/>
      <c r="AA470" s="3"/>
      <c r="AB470" s="3"/>
      <c r="AC470" s="3"/>
      <c r="AD470" s="3"/>
      <c r="AE470" s="3"/>
      <c r="AF470" s="3"/>
      <c r="AG470" s="3"/>
      <c r="AH470" s="3"/>
    </row>
    <row r="471" customFormat="false" ht="15" hidden="false" customHeight="true" outlineLevel="0" collapsed="false">
      <c r="A471" s="2"/>
      <c r="B471" s="36"/>
      <c r="C471" s="37"/>
      <c r="D471" s="37"/>
      <c r="E471" s="38"/>
      <c r="F471" s="39"/>
      <c r="G471" s="40" t="str">
        <f aca="false">IF(OR($E471="",$C471="",$D471=""),"",$E471*$D471*IFERROR(INDEX(Listas!$C$6:$C$20,MATCH($C471,Listas!$B$6:$B$20,0)),0)-$D471*IFERROR(INDEX(Listas!$D$6:$D$20,MATCH($C471,Listas!$B$6:$B$20,0)),0))</f>
        <v/>
      </c>
      <c r="H471" s="41" t="str">
        <f aca="false">IF(OR($F471="",$C471="",$D471=""),"",ABS($F471)*$D471*IFERROR(INDEX(Listas!$C$6:$C$20,MATCH($C471,Listas!$B$6:$B$20,0)),0))</f>
        <v/>
      </c>
      <c r="I471" s="42" t="str">
        <f aca="false">IF(OR($E471="",$F471="",$F471=0),"",$E471/ABS($F471))</f>
        <v/>
      </c>
      <c r="J471" s="43" t="str">
        <f aca="false">IF($B471="","",INDEX(Listas!$G$6:$G$12,WEEKDAY($B471,1)))</f>
        <v/>
      </c>
      <c r="K471" s="43" t="str">
        <f aca="false">IFERROR(IF($L471="","",TEXT(IF($L471&lt;1,HOUR($L471),INT($L471)),"00")&amp;":00"),"")</f>
        <v/>
      </c>
      <c r="L471" s="44"/>
      <c r="M471" s="45"/>
      <c r="N471" s="46"/>
      <c r="O471" s="45"/>
      <c r="P471" s="2"/>
      <c r="Q471" s="2"/>
      <c r="R471" s="2"/>
      <c r="S471" s="2"/>
      <c r="T471" s="2"/>
      <c r="U471" s="47" t="str">
        <f aca="false">IF($G471="","",IF($G471&lt;0,IF(N($U470)=0,1,$U470+1),0))</f>
        <v/>
      </c>
      <c r="V471" s="47" t="str">
        <f aca="false">IF($G471="","",IF($V470="",'Empieza aquí'!$D$8,$V470)+$G471)</f>
        <v/>
      </c>
      <c r="W471" s="47" t="str">
        <f aca="false">IF($V471="","",MAX(IF($W470="",'Empieza aquí'!$D$8,$W470),$V471))</f>
        <v/>
      </c>
      <c r="X471" s="47" t="str">
        <f aca="false">IF($V471="","",$V471-$W471)</f>
        <v/>
      </c>
      <c r="Y471" s="3"/>
      <c r="Z471" s="3"/>
      <c r="AA471" s="3"/>
      <c r="AB471" s="3"/>
      <c r="AC471" s="3"/>
      <c r="AD471" s="3"/>
      <c r="AE471" s="3"/>
      <c r="AF471" s="3"/>
      <c r="AG471" s="3"/>
      <c r="AH471" s="3"/>
    </row>
    <row r="472" customFormat="false" ht="15" hidden="false" customHeight="true" outlineLevel="0" collapsed="false">
      <c r="A472" s="2"/>
      <c r="B472" s="36"/>
      <c r="C472" s="37"/>
      <c r="D472" s="37"/>
      <c r="E472" s="38"/>
      <c r="F472" s="39"/>
      <c r="G472" s="40" t="str">
        <f aca="false">IF(OR($E472="",$C472="",$D472=""),"",$E472*$D472*IFERROR(INDEX(Listas!$C$6:$C$20,MATCH($C472,Listas!$B$6:$B$20,0)),0)-$D472*IFERROR(INDEX(Listas!$D$6:$D$20,MATCH($C472,Listas!$B$6:$B$20,0)),0))</f>
        <v/>
      </c>
      <c r="H472" s="41" t="str">
        <f aca="false">IF(OR($F472="",$C472="",$D472=""),"",ABS($F472)*$D472*IFERROR(INDEX(Listas!$C$6:$C$20,MATCH($C472,Listas!$B$6:$B$20,0)),0))</f>
        <v/>
      </c>
      <c r="I472" s="42" t="str">
        <f aca="false">IF(OR($E472="",$F472="",$F472=0),"",$E472/ABS($F472))</f>
        <v/>
      </c>
      <c r="J472" s="43" t="str">
        <f aca="false">IF($B472="","",INDEX(Listas!$G$6:$G$12,WEEKDAY($B472,1)))</f>
        <v/>
      </c>
      <c r="K472" s="43" t="str">
        <f aca="false">IFERROR(IF($L472="","",TEXT(IF($L472&lt;1,HOUR($L472),INT($L472)),"00")&amp;":00"),"")</f>
        <v/>
      </c>
      <c r="L472" s="44"/>
      <c r="M472" s="45"/>
      <c r="N472" s="46"/>
      <c r="O472" s="45"/>
      <c r="P472" s="2"/>
      <c r="Q472" s="2"/>
      <c r="R472" s="2"/>
      <c r="S472" s="2"/>
      <c r="T472" s="2"/>
      <c r="U472" s="47" t="str">
        <f aca="false">IF($G472="","",IF($G472&lt;0,IF(N($U471)=0,1,$U471+1),0))</f>
        <v/>
      </c>
      <c r="V472" s="47" t="str">
        <f aca="false">IF($G472="","",IF($V471="",'Empieza aquí'!$D$8,$V471)+$G472)</f>
        <v/>
      </c>
      <c r="W472" s="47" t="str">
        <f aca="false">IF($V472="","",MAX(IF($W471="",'Empieza aquí'!$D$8,$W471),$V472))</f>
        <v/>
      </c>
      <c r="X472" s="47" t="str">
        <f aca="false">IF($V472="","",$V472-$W472)</f>
        <v/>
      </c>
      <c r="Y472" s="3"/>
      <c r="Z472" s="3"/>
      <c r="AA472" s="3"/>
      <c r="AB472" s="3"/>
      <c r="AC472" s="3"/>
      <c r="AD472" s="3"/>
      <c r="AE472" s="3"/>
      <c r="AF472" s="3"/>
      <c r="AG472" s="3"/>
      <c r="AH472" s="3"/>
    </row>
    <row r="473" customFormat="false" ht="15" hidden="false" customHeight="true" outlineLevel="0" collapsed="false">
      <c r="A473" s="2"/>
      <c r="B473" s="36"/>
      <c r="C473" s="37"/>
      <c r="D473" s="37"/>
      <c r="E473" s="38"/>
      <c r="F473" s="39"/>
      <c r="G473" s="40" t="str">
        <f aca="false">IF(OR($E473="",$C473="",$D473=""),"",$E473*$D473*IFERROR(INDEX(Listas!$C$6:$C$20,MATCH($C473,Listas!$B$6:$B$20,0)),0)-$D473*IFERROR(INDEX(Listas!$D$6:$D$20,MATCH($C473,Listas!$B$6:$B$20,0)),0))</f>
        <v/>
      </c>
      <c r="H473" s="41" t="str">
        <f aca="false">IF(OR($F473="",$C473="",$D473=""),"",ABS($F473)*$D473*IFERROR(INDEX(Listas!$C$6:$C$20,MATCH($C473,Listas!$B$6:$B$20,0)),0))</f>
        <v/>
      </c>
      <c r="I473" s="42" t="str">
        <f aca="false">IF(OR($E473="",$F473="",$F473=0),"",$E473/ABS($F473))</f>
        <v/>
      </c>
      <c r="J473" s="43" t="str">
        <f aca="false">IF($B473="","",INDEX(Listas!$G$6:$G$12,WEEKDAY($B473,1)))</f>
        <v/>
      </c>
      <c r="K473" s="43" t="str">
        <f aca="false">IFERROR(IF($L473="","",TEXT(IF($L473&lt;1,HOUR($L473),INT($L473)),"00")&amp;":00"),"")</f>
        <v/>
      </c>
      <c r="L473" s="44"/>
      <c r="M473" s="45"/>
      <c r="N473" s="46"/>
      <c r="O473" s="45"/>
      <c r="P473" s="2"/>
      <c r="Q473" s="2"/>
      <c r="R473" s="2"/>
      <c r="S473" s="2"/>
      <c r="T473" s="2"/>
      <c r="U473" s="47" t="str">
        <f aca="false">IF($G473="","",IF($G473&lt;0,IF(N($U472)=0,1,$U472+1),0))</f>
        <v/>
      </c>
      <c r="V473" s="47" t="str">
        <f aca="false">IF($G473="","",IF($V472="",'Empieza aquí'!$D$8,$V472)+$G473)</f>
        <v/>
      </c>
      <c r="W473" s="47" t="str">
        <f aca="false">IF($V473="","",MAX(IF($W472="",'Empieza aquí'!$D$8,$W472),$V473))</f>
        <v/>
      </c>
      <c r="X473" s="47" t="str">
        <f aca="false">IF($V473="","",$V473-$W473)</f>
        <v/>
      </c>
      <c r="Y473" s="3"/>
      <c r="Z473" s="3"/>
      <c r="AA473" s="3"/>
      <c r="AB473" s="3"/>
      <c r="AC473" s="3"/>
      <c r="AD473" s="3"/>
      <c r="AE473" s="3"/>
      <c r="AF473" s="3"/>
      <c r="AG473" s="3"/>
      <c r="AH473" s="3"/>
    </row>
    <row r="474" customFormat="false" ht="15" hidden="false" customHeight="true" outlineLevel="0" collapsed="false">
      <c r="A474" s="2"/>
      <c r="B474" s="36"/>
      <c r="C474" s="37"/>
      <c r="D474" s="37"/>
      <c r="E474" s="38"/>
      <c r="F474" s="39"/>
      <c r="G474" s="40" t="str">
        <f aca="false">IF(OR($E474="",$C474="",$D474=""),"",$E474*$D474*IFERROR(INDEX(Listas!$C$6:$C$20,MATCH($C474,Listas!$B$6:$B$20,0)),0)-$D474*IFERROR(INDEX(Listas!$D$6:$D$20,MATCH($C474,Listas!$B$6:$B$20,0)),0))</f>
        <v/>
      </c>
      <c r="H474" s="41" t="str">
        <f aca="false">IF(OR($F474="",$C474="",$D474=""),"",ABS($F474)*$D474*IFERROR(INDEX(Listas!$C$6:$C$20,MATCH($C474,Listas!$B$6:$B$20,0)),0))</f>
        <v/>
      </c>
      <c r="I474" s="42" t="str">
        <f aca="false">IF(OR($E474="",$F474="",$F474=0),"",$E474/ABS($F474))</f>
        <v/>
      </c>
      <c r="J474" s="43" t="str">
        <f aca="false">IF($B474="","",INDEX(Listas!$G$6:$G$12,WEEKDAY($B474,1)))</f>
        <v/>
      </c>
      <c r="K474" s="43" t="str">
        <f aca="false">IFERROR(IF($L474="","",TEXT(IF($L474&lt;1,HOUR($L474),INT($L474)),"00")&amp;":00"),"")</f>
        <v/>
      </c>
      <c r="L474" s="44"/>
      <c r="M474" s="45"/>
      <c r="N474" s="46"/>
      <c r="O474" s="45"/>
      <c r="P474" s="2"/>
      <c r="Q474" s="2"/>
      <c r="R474" s="2"/>
      <c r="S474" s="2"/>
      <c r="T474" s="2"/>
      <c r="U474" s="47" t="str">
        <f aca="false">IF($G474="","",IF($G474&lt;0,IF(N($U473)=0,1,$U473+1),0))</f>
        <v/>
      </c>
      <c r="V474" s="47" t="str">
        <f aca="false">IF($G474="","",IF($V473="",'Empieza aquí'!$D$8,$V473)+$G474)</f>
        <v/>
      </c>
      <c r="W474" s="47" t="str">
        <f aca="false">IF($V474="","",MAX(IF($W473="",'Empieza aquí'!$D$8,$W473),$V474))</f>
        <v/>
      </c>
      <c r="X474" s="47" t="str">
        <f aca="false">IF($V474="","",$V474-$W474)</f>
        <v/>
      </c>
      <c r="Y474" s="3"/>
      <c r="Z474" s="3"/>
      <c r="AA474" s="3"/>
      <c r="AB474" s="3"/>
      <c r="AC474" s="3"/>
      <c r="AD474" s="3"/>
      <c r="AE474" s="3"/>
      <c r="AF474" s="3"/>
      <c r="AG474" s="3"/>
      <c r="AH474" s="3"/>
    </row>
    <row r="475" customFormat="false" ht="15" hidden="false" customHeight="true" outlineLevel="0" collapsed="false">
      <c r="A475" s="2"/>
      <c r="B475" s="36"/>
      <c r="C475" s="37"/>
      <c r="D475" s="37"/>
      <c r="E475" s="38"/>
      <c r="F475" s="39"/>
      <c r="G475" s="40" t="str">
        <f aca="false">IF(OR($E475="",$C475="",$D475=""),"",$E475*$D475*IFERROR(INDEX(Listas!$C$6:$C$20,MATCH($C475,Listas!$B$6:$B$20,0)),0)-$D475*IFERROR(INDEX(Listas!$D$6:$D$20,MATCH($C475,Listas!$B$6:$B$20,0)),0))</f>
        <v/>
      </c>
      <c r="H475" s="41" t="str">
        <f aca="false">IF(OR($F475="",$C475="",$D475=""),"",ABS($F475)*$D475*IFERROR(INDEX(Listas!$C$6:$C$20,MATCH($C475,Listas!$B$6:$B$20,0)),0))</f>
        <v/>
      </c>
      <c r="I475" s="42" t="str">
        <f aca="false">IF(OR($E475="",$F475="",$F475=0),"",$E475/ABS($F475))</f>
        <v/>
      </c>
      <c r="J475" s="43" t="str">
        <f aca="false">IF($B475="","",INDEX(Listas!$G$6:$G$12,WEEKDAY($B475,1)))</f>
        <v/>
      </c>
      <c r="K475" s="43" t="str">
        <f aca="false">IFERROR(IF($L475="","",TEXT(IF($L475&lt;1,HOUR($L475),INT($L475)),"00")&amp;":00"),"")</f>
        <v/>
      </c>
      <c r="L475" s="44"/>
      <c r="M475" s="45"/>
      <c r="N475" s="46"/>
      <c r="O475" s="45"/>
      <c r="P475" s="2"/>
      <c r="Q475" s="2"/>
      <c r="R475" s="2"/>
      <c r="S475" s="2"/>
      <c r="T475" s="2"/>
      <c r="U475" s="47" t="str">
        <f aca="false">IF($G475="","",IF($G475&lt;0,IF(N($U474)=0,1,$U474+1),0))</f>
        <v/>
      </c>
      <c r="V475" s="47" t="str">
        <f aca="false">IF($G475="","",IF($V474="",'Empieza aquí'!$D$8,$V474)+$G475)</f>
        <v/>
      </c>
      <c r="W475" s="47" t="str">
        <f aca="false">IF($V475="","",MAX(IF($W474="",'Empieza aquí'!$D$8,$W474),$V475))</f>
        <v/>
      </c>
      <c r="X475" s="47" t="str">
        <f aca="false">IF($V475="","",$V475-$W475)</f>
        <v/>
      </c>
      <c r="Y475" s="3"/>
      <c r="Z475" s="3"/>
      <c r="AA475" s="3"/>
      <c r="AB475" s="3"/>
      <c r="AC475" s="3"/>
      <c r="AD475" s="3"/>
      <c r="AE475" s="3"/>
      <c r="AF475" s="3"/>
      <c r="AG475" s="3"/>
      <c r="AH475" s="3"/>
    </row>
    <row r="476" customFormat="false" ht="15" hidden="false" customHeight="true" outlineLevel="0" collapsed="false">
      <c r="A476" s="2"/>
      <c r="B476" s="36"/>
      <c r="C476" s="37"/>
      <c r="D476" s="37"/>
      <c r="E476" s="38"/>
      <c r="F476" s="39"/>
      <c r="G476" s="40" t="str">
        <f aca="false">IF(OR($E476="",$C476="",$D476=""),"",$E476*$D476*IFERROR(INDEX(Listas!$C$6:$C$20,MATCH($C476,Listas!$B$6:$B$20,0)),0)-$D476*IFERROR(INDEX(Listas!$D$6:$D$20,MATCH($C476,Listas!$B$6:$B$20,0)),0))</f>
        <v/>
      </c>
      <c r="H476" s="41" t="str">
        <f aca="false">IF(OR($F476="",$C476="",$D476=""),"",ABS($F476)*$D476*IFERROR(INDEX(Listas!$C$6:$C$20,MATCH($C476,Listas!$B$6:$B$20,0)),0))</f>
        <v/>
      </c>
      <c r="I476" s="42" t="str">
        <f aca="false">IF(OR($E476="",$F476="",$F476=0),"",$E476/ABS($F476))</f>
        <v/>
      </c>
      <c r="J476" s="43" t="str">
        <f aca="false">IF($B476="","",INDEX(Listas!$G$6:$G$12,WEEKDAY($B476,1)))</f>
        <v/>
      </c>
      <c r="K476" s="43" t="str">
        <f aca="false">IFERROR(IF($L476="","",TEXT(IF($L476&lt;1,HOUR($L476),INT($L476)),"00")&amp;":00"),"")</f>
        <v/>
      </c>
      <c r="L476" s="44"/>
      <c r="M476" s="45"/>
      <c r="N476" s="46"/>
      <c r="O476" s="45"/>
      <c r="P476" s="2"/>
      <c r="Q476" s="2"/>
      <c r="R476" s="2"/>
      <c r="S476" s="2"/>
      <c r="T476" s="2"/>
      <c r="U476" s="47" t="str">
        <f aca="false">IF($G476="","",IF($G476&lt;0,IF(N($U475)=0,1,$U475+1),0))</f>
        <v/>
      </c>
      <c r="V476" s="47" t="str">
        <f aca="false">IF($G476="","",IF($V475="",'Empieza aquí'!$D$8,$V475)+$G476)</f>
        <v/>
      </c>
      <c r="W476" s="47" t="str">
        <f aca="false">IF($V476="","",MAX(IF($W475="",'Empieza aquí'!$D$8,$W475),$V476))</f>
        <v/>
      </c>
      <c r="X476" s="47" t="str">
        <f aca="false">IF($V476="","",$V476-$W476)</f>
        <v/>
      </c>
      <c r="Y476" s="3"/>
      <c r="Z476" s="3"/>
      <c r="AA476" s="3"/>
      <c r="AB476" s="3"/>
      <c r="AC476" s="3"/>
      <c r="AD476" s="3"/>
      <c r="AE476" s="3"/>
      <c r="AF476" s="3"/>
      <c r="AG476" s="3"/>
      <c r="AH476" s="3"/>
    </row>
    <row r="477" customFormat="false" ht="15" hidden="false" customHeight="true" outlineLevel="0" collapsed="false">
      <c r="A477" s="2"/>
      <c r="B477" s="36"/>
      <c r="C477" s="37"/>
      <c r="D477" s="37"/>
      <c r="E477" s="38"/>
      <c r="F477" s="39"/>
      <c r="G477" s="40" t="str">
        <f aca="false">IF(OR($E477="",$C477="",$D477=""),"",$E477*$D477*IFERROR(INDEX(Listas!$C$6:$C$20,MATCH($C477,Listas!$B$6:$B$20,0)),0)-$D477*IFERROR(INDEX(Listas!$D$6:$D$20,MATCH($C477,Listas!$B$6:$B$20,0)),0))</f>
        <v/>
      </c>
      <c r="H477" s="41" t="str">
        <f aca="false">IF(OR($F477="",$C477="",$D477=""),"",ABS($F477)*$D477*IFERROR(INDEX(Listas!$C$6:$C$20,MATCH($C477,Listas!$B$6:$B$20,0)),0))</f>
        <v/>
      </c>
      <c r="I477" s="42" t="str">
        <f aca="false">IF(OR($E477="",$F477="",$F477=0),"",$E477/ABS($F477))</f>
        <v/>
      </c>
      <c r="J477" s="43" t="str">
        <f aca="false">IF($B477="","",INDEX(Listas!$G$6:$G$12,WEEKDAY($B477,1)))</f>
        <v/>
      </c>
      <c r="K477" s="43" t="str">
        <f aca="false">IFERROR(IF($L477="","",TEXT(IF($L477&lt;1,HOUR($L477),INT($L477)),"00")&amp;":00"),"")</f>
        <v/>
      </c>
      <c r="L477" s="44"/>
      <c r="M477" s="45"/>
      <c r="N477" s="46"/>
      <c r="O477" s="45"/>
      <c r="P477" s="2"/>
      <c r="Q477" s="2"/>
      <c r="R477" s="2"/>
      <c r="S477" s="2"/>
      <c r="T477" s="2"/>
      <c r="U477" s="47" t="str">
        <f aca="false">IF($G477="","",IF($G477&lt;0,IF(N($U476)=0,1,$U476+1),0))</f>
        <v/>
      </c>
      <c r="V477" s="47" t="str">
        <f aca="false">IF($G477="","",IF($V476="",'Empieza aquí'!$D$8,$V476)+$G477)</f>
        <v/>
      </c>
      <c r="W477" s="47" t="str">
        <f aca="false">IF($V477="","",MAX(IF($W476="",'Empieza aquí'!$D$8,$W476),$V477))</f>
        <v/>
      </c>
      <c r="X477" s="47" t="str">
        <f aca="false">IF($V477="","",$V477-$W477)</f>
        <v/>
      </c>
      <c r="Y477" s="3"/>
      <c r="Z477" s="3"/>
      <c r="AA477" s="3"/>
      <c r="AB477" s="3"/>
      <c r="AC477" s="3"/>
      <c r="AD477" s="3"/>
      <c r="AE477" s="3"/>
      <c r="AF477" s="3"/>
      <c r="AG477" s="3"/>
      <c r="AH477" s="3"/>
    </row>
    <row r="478" customFormat="false" ht="15" hidden="false" customHeight="true" outlineLevel="0" collapsed="false">
      <c r="A478" s="2"/>
      <c r="B478" s="36"/>
      <c r="C478" s="37"/>
      <c r="D478" s="37"/>
      <c r="E478" s="38"/>
      <c r="F478" s="39"/>
      <c r="G478" s="40" t="str">
        <f aca="false">IF(OR($E478="",$C478="",$D478=""),"",$E478*$D478*IFERROR(INDEX(Listas!$C$6:$C$20,MATCH($C478,Listas!$B$6:$B$20,0)),0)-$D478*IFERROR(INDEX(Listas!$D$6:$D$20,MATCH($C478,Listas!$B$6:$B$20,0)),0))</f>
        <v/>
      </c>
      <c r="H478" s="41" t="str">
        <f aca="false">IF(OR($F478="",$C478="",$D478=""),"",ABS($F478)*$D478*IFERROR(INDEX(Listas!$C$6:$C$20,MATCH($C478,Listas!$B$6:$B$20,0)),0))</f>
        <v/>
      </c>
      <c r="I478" s="42" t="str">
        <f aca="false">IF(OR($E478="",$F478="",$F478=0),"",$E478/ABS($F478))</f>
        <v/>
      </c>
      <c r="J478" s="43" t="str">
        <f aca="false">IF($B478="","",INDEX(Listas!$G$6:$G$12,WEEKDAY($B478,1)))</f>
        <v/>
      </c>
      <c r="K478" s="43" t="str">
        <f aca="false">IFERROR(IF($L478="","",TEXT(IF($L478&lt;1,HOUR($L478),INT($L478)),"00")&amp;":00"),"")</f>
        <v/>
      </c>
      <c r="L478" s="44"/>
      <c r="M478" s="45"/>
      <c r="N478" s="46"/>
      <c r="O478" s="45"/>
      <c r="P478" s="2"/>
      <c r="Q478" s="2"/>
      <c r="R478" s="2"/>
      <c r="S478" s="2"/>
      <c r="T478" s="2"/>
      <c r="U478" s="47" t="str">
        <f aca="false">IF($G478="","",IF($G478&lt;0,IF(N($U477)=0,1,$U477+1),0))</f>
        <v/>
      </c>
      <c r="V478" s="47" t="str">
        <f aca="false">IF($G478="","",IF($V477="",'Empieza aquí'!$D$8,$V477)+$G478)</f>
        <v/>
      </c>
      <c r="W478" s="47" t="str">
        <f aca="false">IF($V478="","",MAX(IF($W477="",'Empieza aquí'!$D$8,$W477),$V478))</f>
        <v/>
      </c>
      <c r="X478" s="47" t="str">
        <f aca="false">IF($V478="","",$V478-$W478)</f>
        <v/>
      </c>
      <c r="Y478" s="3"/>
      <c r="Z478" s="3"/>
      <c r="AA478" s="3"/>
      <c r="AB478" s="3"/>
      <c r="AC478" s="3"/>
      <c r="AD478" s="3"/>
      <c r="AE478" s="3"/>
      <c r="AF478" s="3"/>
      <c r="AG478" s="3"/>
      <c r="AH478" s="3"/>
    </row>
    <row r="479" customFormat="false" ht="15" hidden="false" customHeight="true" outlineLevel="0" collapsed="false">
      <c r="A479" s="2"/>
      <c r="B479" s="36"/>
      <c r="C479" s="37"/>
      <c r="D479" s="37"/>
      <c r="E479" s="38"/>
      <c r="F479" s="39"/>
      <c r="G479" s="40" t="str">
        <f aca="false">IF(OR($E479="",$C479="",$D479=""),"",$E479*$D479*IFERROR(INDEX(Listas!$C$6:$C$20,MATCH($C479,Listas!$B$6:$B$20,0)),0)-$D479*IFERROR(INDEX(Listas!$D$6:$D$20,MATCH($C479,Listas!$B$6:$B$20,0)),0))</f>
        <v/>
      </c>
      <c r="H479" s="41" t="str">
        <f aca="false">IF(OR($F479="",$C479="",$D479=""),"",ABS($F479)*$D479*IFERROR(INDEX(Listas!$C$6:$C$20,MATCH($C479,Listas!$B$6:$B$20,0)),0))</f>
        <v/>
      </c>
      <c r="I479" s="42" t="str">
        <f aca="false">IF(OR($E479="",$F479="",$F479=0),"",$E479/ABS($F479))</f>
        <v/>
      </c>
      <c r="J479" s="43" t="str">
        <f aca="false">IF($B479="","",INDEX(Listas!$G$6:$G$12,WEEKDAY($B479,1)))</f>
        <v/>
      </c>
      <c r="K479" s="43" t="str">
        <f aca="false">IFERROR(IF($L479="","",TEXT(IF($L479&lt;1,HOUR($L479),INT($L479)),"00")&amp;":00"),"")</f>
        <v/>
      </c>
      <c r="L479" s="44"/>
      <c r="M479" s="45"/>
      <c r="N479" s="46"/>
      <c r="O479" s="45"/>
      <c r="P479" s="2"/>
      <c r="Q479" s="2"/>
      <c r="R479" s="2"/>
      <c r="S479" s="2"/>
      <c r="T479" s="2"/>
      <c r="U479" s="47" t="str">
        <f aca="false">IF($G479="","",IF($G479&lt;0,IF(N($U478)=0,1,$U478+1),0))</f>
        <v/>
      </c>
      <c r="V479" s="47" t="str">
        <f aca="false">IF($G479="","",IF($V478="",'Empieza aquí'!$D$8,$V478)+$G479)</f>
        <v/>
      </c>
      <c r="W479" s="47" t="str">
        <f aca="false">IF($V479="","",MAX(IF($W478="",'Empieza aquí'!$D$8,$W478),$V479))</f>
        <v/>
      </c>
      <c r="X479" s="47" t="str">
        <f aca="false">IF($V479="","",$V479-$W479)</f>
        <v/>
      </c>
      <c r="Y479" s="3"/>
      <c r="Z479" s="3"/>
      <c r="AA479" s="3"/>
      <c r="AB479" s="3"/>
      <c r="AC479" s="3"/>
      <c r="AD479" s="3"/>
      <c r="AE479" s="3"/>
      <c r="AF479" s="3"/>
      <c r="AG479" s="3"/>
      <c r="AH479" s="3"/>
    </row>
    <row r="480" customFormat="false" ht="15" hidden="false" customHeight="true" outlineLevel="0" collapsed="false">
      <c r="A480" s="2"/>
      <c r="B480" s="36"/>
      <c r="C480" s="37"/>
      <c r="D480" s="37"/>
      <c r="E480" s="38"/>
      <c r="F480" s="39"/>
      <c r="G480" s="40" t="str">
        <f aca="false">IF(OR($E480="",$C480="",$D480=""),"",$E480*$D480*IFERROR(INDEX(Listas!$C$6:$C$20,MATCH($C480,Listas!$B$6:$B$20,0)),0)-$D480*IFERROR(INDEX(Listas!$D$6:$D$20,MATCH($C480,Listas!$B$6:$B$20,0)),0))</f>
        <v/>
      </c>
      <c r="H480" s="41" t="str">
        <f aca="false">IF(OR($F480="",$C480="",$D480=""),"",ABS($F480)*$D480*IFERROR(INDEX(Listas!$C$6:$C$20,MATCH($C480,Listas!$B$6:$B$20,0)),0))</f>
        <v/>
      </c>
      <c r="I480" s="42" t="str">
        <f aca="false">IF(OR($E480="",$F480="",$F480=0),"",$E480/ABS($F480))</f>
        <v/>
      </c>
      <c r="J480" s="43" t="str">
        <f aca="false">IF($B480="","",INDEX(Listas!$G$6:$G$12,WEEKDAY($B480,1)))</f>
        <v/>
      </c>
      <c r="K480" s="43" t="str">
        <f aca="false">IFERROR(IF($L480="","",TEXT(IF($L480&lt;1,HOUR($L480),INT($L480)),"00")&amp;":00"),"")</f>
        <v/>
      </c>
      <c r="L480" s="44"/>
      <c r="M480" s="45"/>
      <c r="N480" s="46"/>
      <c r="O480" s="45"/>
      <c r="P480" s="2"/>
      <c r="Q480" s="2"/>
      <c r="R480" s="2"/>
      <c r="S480" s="2"/>
      <c r="T480" s="2"/>
      <c r="U480" s="47" t="str">
        <f aca="false">IF($G480="","",IF($G480&lt;0,IF(N($U479)=0,1,$U479+1),0))</f>
        <v/>
      </c>
      <c r="V480" s="47" t="str">
        <f aca="false">IF($G480="","",IF($V479="",'Empieza aquí'!$D$8,$V479)+$G480)</f>
        <v/>
      </c>
      <c r="W480" s="47" t="str">
        <f aca="false">IF($V480="","",MAX(IF($W479="",'Empieza aquí'!$D$8,$W479),$V480))</f>
        <v/>
      </c>
      <c r="X480" s="47" t="str">
        <f aca="false">IF($V480="","",$V480-$W480)</f>
        <v/>
      </c>
      <c r="Y480" s="3"/>
      <c r="Z480" s="3"/>
      <c r="AA480" s="3"/>
      <c r="AB480" s="3"/>
      <c r="AC480" s="3"/>
      <c r="AD480" s="3"/>
      <c r="AE480" s="3"/>
      <c r="AF480" s="3"/>
      <c r="AG480" s="3"/>
      <c r="AH480" s="3"/>
    </row>
    <row r="481" customFormat="false" ht="15" hidden="false" customHeight="true" outlineLevel="0" collapsed="false">
      <c r="A481" s="2"/>
      <c r="B481" s="36"/>
      <c r="C481" s="37"/>
      <c r="D481" s="37"/>
      <c r="E481" s="38"/>
      <c r="F481" s="39"/>
      <c r="G481" s="40" t="str">
        <f aca="false">IF(OR($E481="",$C481="",$D481=""),"",$E481*$D481*IFERROR(INDEX(Listas!$C$6:$C$20,MATCH($C481,Listas!$B$6:$B$20,0)),0)-$D481*IFERROR(INDEX(Listas!$D$6:$D$20,MATCH($C481,Listas!$B$6:$B$20,0)),0))</f>
        <v/>
      </c>
      <c r="H481" s="41" t="str">
        <f aca="false">IF(OR($F481="",$C481="",$D481=""),"",ABS($F481)*$D481*IFERROR(INDEX(Listas!$C$6:$C$20,MATCH($C481,Listas!$B$6:$B$20,0)),0))</f>
        <v/>
      </c>
      <c r="I481" s="42" t="str">
        <f aca="false">IF(OR($E481="",$F481="",$F481=0),"",$E481/ABS($F481))</f>
        <v/>
      </c>
      <c r="J481" s="43" t="str">
        <f aca="false">IF($B481="","",INDEX(Listas!$G$6:$G$12,WEEKDAY($B481,1)))</f>
        <v/>
      </c>
      <c r="K481" s="43" t="str">
        <f aca="false">IFERROR(IF($L481="","",TEXT(IF($L481&lt;1,HOUR($L481),INT($L481)),"00")&amp;":00"),"")</f>
        <v/>
      </c>
      <c r="L481" s="44"/>
      <c r="M481" s="45"/>
      <c r="N481" s="46"/>
      <c r="O481" s="45"/>
      <c r="P481" s="2"/>
      <c r="Q481" s="2"/>
      <c r="R481" s="2"/>
      <c r="S481" s="2"/>
      <c r="T481" s="2"/>
      <c r="U481" s="47" t="str">
        <f aca="false">IF($G481="","",IF($G481&lt;0,IF(N($U480)=0,1,$U480+1),0))</f>
        <v/>
      </c>
      <c r="V481" s="47" t="str">
        <f aca="false">IF($G481="","",IF($V480="",'Empieza aquí'!$D$8,$V480)+$G481)</f>
        <v/>
      </c>
      <c r="W481" s="47" t="str">
        <f aca="false">IF($V481="","",MAX(IF($W480="",'Empieza aquí'!$D$8,$W480),$V481))</f>
        <v/>
      </c>
      <c r="X481" s="47" t="str">
        <f aca="false">IF($V481="","",$V481-$W481)</f>
        <v/>
      </c>
      <c r="Y481" s="3"/>
      <c r="Z481" s="3"/>
      <c r="AA481" s="3"/>
      <c r="AB481" s="3"/>
      <c r="AC481" s="3"/>
      <c r="AD481" s="3"/>
      <c r="AE481" s="3"/>
      <c r="AF481" s="3"/>
      <c r="AG481" s="3"/>
      <c r="AH481" s="3"/>
    </row>
    <row r="482" customFormat="false" ht="15" hidden="false" customHeight="true" outlineLevel="0" collapsed="false">
      <c r="A482" s="2"/>
      <c r="B482" s="36"/>
      <c r="C482" s="37"/>
      <c r="D482" s="37"/>
      <c r="E482" s="38"/>
      <c r="F482" s="39"/>
      <c r="G482" s="40" t="str">
        <f aca="false">IF(OR($E482="",$C482="",$D482=""),"",$E482*$D482*IFERROR(INDEX(Listas!$C$6:$C$20,MATCH($C482,Listas!$B$6:$B$20,0)),0)-$D482*IFERROR(INDEX(Listas!$D$6:$D$20,MATCH($C482,Listas!$B$6:$B$20,0)),0))</f>
        <v/>
      </c>
      <c r="H482" s="41" t="str">
        <f aca="false">IF(OR($F482="",$C482="",$D482=""),"",ABS($F482)*$D482*IFERROR(INDEX(Listas!$C$6:$C$20,MATCH($C482,Listas!$B$6:$B$20,0)),0))</f>
        <v/>
      </c>
      <c r="I482" s="42" t="str">
        <f aca="false">IF(OR($E482="",$F482="",$F482=0),"",$E482/ABS($F482))</f>
        <v/>
      </c>
      <c r="J482" s="43" t="str">
        <f aca="false">IF($B482="","",INDEX(Listas!$G$6:$G$12,WEEKDAY($B482,1)))</f>
        <v/>
      </c>
      <c r="K482" s="43" t="str">
        <f aca="false">IFERROR(IF($L482="","",TEXT(IF($L482&lt;1,HOUR($L482),INT($L482)),"00")&amp;":00"),"")</f>
        <v/>
      </c>
      <c r="L482" s="44"/>
      <c r="M482" s="45"/>
      <c r="N482" s="46"/>
      <c r="O482" s="45"/>
      <c r="P482" s="2"/>
      <c r="Q482" s="2"/>
      <c r="R482" s="2"/>
      <c r="S482" s="2"/>
      <c r="T482" s="2"/>
      <c r="U482" s="47" t="str">
        <f aca="false">IF($G482="","",IF($G482&lt;0,IF(N($U481)=0,1,$U481+1),0))</f>
        <v/>
      </c>
      <c r="V482" s="47" t="str">
        <f aca="false">IF($G482="","",IF($V481="",'Empieza aquí'!$D$8,$V481)+$G482)</f>
        <v/>
      </c>
      <c r="W482" s="47" t="str">
        <f aca="false">IF($V482="","",MAX(IF($W481="",'Empieza aquí'!$D$8,$W481),$V482))</f>
        <v/>
      </c>
      <c r="X482" s="47" t="str">
        <f aca="false">IF($V482="","",$V482-$W482)</f>
        <v/>
      </c>
      <c r="Y482" s="3"/>
      <c r="Z482" s="3"/>
      <c r="AA482" s="3"/>
      <c r="AB482" s="3"/>
      <c r="AC482" s="3"/>
      <c r="AD482" s="3"/>
      <c r="AE482" s="3"/>
      <c r="AF482" s="3"/>
      <c r="AG482" s="3"/>
      <c r="AH482" s="3"/>
    </row>
    <row r="483" customFormat="false" ht="15" hidden="false" customHeight="true" outlineLevel="0" collapsed="false">
      <c r="A483" s="2"/>
      <c r="B483" s="36"/>
      <c r="C483" s="37"/>
      <c r="D483" s="37"/>
      <c r="E483" s="38"/>
      <c r="F483" s="39"/>
      <c r="G483" s="40" t="str">
        <f aca="false">IF(OR($E483="",$C483="",$D483=""),"",$E483*$D483*IFERROR(INDEX(Listas!$C$6:$C$20,MATCH($C483,Listas!$B$6:$B$20,0)),0)-$D483*IFERROR(INDEX(Listas!$D$6:$D$20,MATCH($C483,Listas!$B$6:$B$20,0)),0))</f>
        <v/>
      </c>
      <c r="H483" s="41" t="str">
        <f aca="false">IF(OR($F483="",$C483="",$D483=""),"",ABS($F483)*$D483*IFERROR(INDEX(Listas!$C$6:$C$20,MATCH($C483,Listas!$B$6:$B$20,0)),0))</f>
        <v/>
      </c>
      <c r="I483" s="42" t="str">
        <f aca="false">IF(OR($E483="",$F483="",$F483=0),"",$E483/ABS($F483))</f>
        <v/>
      </c>
      <c r="J483" s="43" t="str">
        <f aca="false">IF($B483="","",INDEX(Listas!$G$6:$G$12,WEEKDAY($B483,1)))</f>
        <v/>
      </c>
      <c r="K483" s="43" t="str">
        <f aca="false">IFERROR(IF($L483="","",TEXT(IF($L483&lt;1,HOUR($L483),INT($L483)),"00")&amp;":00"),"")</f>
        <v/>
      </c>
      <c r="L483" s="44"/>
      <c r="M483" s="45"/>
      <c r="N483" s="46"/>
      <c r="O483" s="45"/>
      <c r="P483" s="2"/>
      <c r="Q483" s="2"/>
      <c r="R483" s="2"/>
      <c r="S483" s="2"/>
      <c r="T483" s="2"/>
      <c r="U483" s="47" t="str">
        <f aca="false">IF($G483="","",IF($G483&lt;0,IF(N($U482)=0,1,$U482+1),0))</f>
        <v/>
      </c>
      <c r="V483" s="47" t="str">
        <f aca="false">IF($G483="","",IF($V482="",'Empieza aquí'!$D$8,$V482)+$G483)</f>
        <v/>
      </c>
      <c r="W483" s="47" t="str">
        <f aca="false">IF($V483="","",MAX(IF($W482="",'Empieza aquí'!$D$8,$W482),$V483))</f>
        <v/>
      </c>
      <c r="X483" s="47" t="str">
        <f aca="false">IF($V483="","",$V483-$W483)</f>
        <v/>
      </c>
      <c r="Y483" s="3"/>
      <c r="Z483" s="3"/>
      <c r="AA483" s="3"/>
      <c r="AB483" s="3"/>
      <c r="AC483" s="3"/>
      <c r="AD483" s="3"/>
      <c r="AE483" s="3"/>
      <c r="AF483" s="3"/>
      <c r="AG483" s="3"/>
      <c r="AH483" s="3"/>
    </row>
    <row r="484" customFormat="false" ht="15" hidden="false" customHeight="true" outlineLevel="0" collapsed="false">
      <c r="A484" s="2"/>
      <c r="B484" s="36"/>
      <c r="C484" s="37"/>
      <c r="D484" s="37"/>
      <c r="E484" s="38"/>
      <c r="F484" s="39"/>
      <c r="G484" s="40" t="str">
        <f aca="false">IF(OR($E484="",$C484="",$D484=""),"",$E484*$D484*IFERROR(INDEX(Listas!$C$6:$C$20,MATCH($C484,Listas!$B$6:$B$20,0)),0)-$D484*IFERROR(INDEX(Listas!$D$6:$D$20,MATCH($C484,Listas!$B$6:$B$20,0)),0))</f>
        <v/>
      </c>
      <c r="H484" s="41" t="str">
        <f aca="false">IF(OR($F484="",$C484="",$D484=""),"",ABS($F484)*$D484*IFERROR(INDEX(Listas!$C$6:$C$20,MATCH($C484,Listas!$B$6:$B$20,0)),0))</f>
        <v/>
      </c>
      <c r="I484" s="42" t="str">
        <f aca="false">IF(OR($E484="",$F484="",$F484=0),"",$E484/ABS($F484))</f>
        <v/>
      </c>
      <c r="J484" s="43" t="str">
        <f aca="false">IF($B484="","",INDEX(Listas!$G$6:$G$12,WEEKDAY($B484,1)))</f>
        <v/>
      </c>
      <c r="K484" s="43" t="str">
        <f aca="false">IFERROR(IF($L484="","",TEXT(IF($L484&lt;1,HOUR($L484),INT($L484)),"00")&amp;":00"),"")</f>
        <v/>
      </c>
      <c r="L484" s="44"/>
      <c r="M484" s="45"/>
      <c r="N484" s="46"/>
      <c r="O484" s="45"/>
      <c r="P484" s="2"/>
      <c r="Q484" s="2"/>
      <c r="R484" s="2"/>
      <c r="S484" s="2"/>
      <c r="T484" s="2"/>
      <c r="U484" s="47" t="str">
        <f aca="false">IF($G484="","",IF($G484&lt;0,IF(N($U483)=0,1,$U483+1),0))</f>
        <v/>
      </c>
      <c r="V484" s="47" t="str">
        <f aca="false">IF($G484="","",IF($V483="",'Empieza aquí'!$D$8,$V483)+$G484)</f>
        <v/>
      </c>
      <c r="W484" s="47" t="str">
        <f aca="false">IF($V484="","",MAX(IF($W483="",'Empieza aquí'!$D$8,$W483),$V484))</f>
        <v/>
      </c>
      <c r="X484" s="47" t="str">
        <f aca="false">IF($V484="","",$V484-$W484)</f>
        <v/>
      </c>
      <c r="Y484" s="3"/>
      <c r="Z484" s="3"/>
      <c r="AA484" s="3"/>
      <c r="AB484" s="3"/>
      <c r="AC484" s="3"/>
      <c r="AD484" s="3"/>
      <c r="AE484" s="3"/>
      <c r="AF484" s="3"/>
      <c r="AG484" s="3"/>
      <c r="AH484" s="3"/>
    </row>
    <row r="485" customFormat="false" ht="15" hidden="false" customHeight="true" outlineLevel="0" collapsed="false">
      <c r="A485" s="2"/>
      <c r="B485" s="36"/>
      <c r="C485" s="37"/>
      <c r="D485" s="37"/>
      <c r="E485" s="38"/>
      <c r="F485" s="39"/>
      <c r="G485" s="40" t="str">
        <f aca="false">IF(OR($E485="",$C485="",$D485=""),"",$E485*$D485*IFERROR(INDEX(Listas!$C$6:$C$20,MATCH($C485,Listas!$B$6:$B$20,0)),0)-$D485*IFERROR(INDEX(Listas!$D$6:$D$20,MATCH($C485,Listas!$B$6:$B$20,0)),0))</f>
        <v/>
      </c>
      <c r="H485" s="41" t="str">
        <f aca="false">IF(OR($F485="",$C485="",$D485=""),"",ABS($F485)*$D485*IFERROR(INDEX(Listas!$C$6:$C$20,MATCH($C485,Listas!$B$6:$B$20,0)),0))</f>
        <v/>
      </c>
      <c r="I485" s="42" t="str">
        <f aca="false">IF(OR($E485="",$F485="",$F485=0),"",$E485/ABS($F485))</f>
        <v/>
      </c>
      <c r="J485" s="43" t="str">
        <f aca="false">IF($B485="","",INDEX(Listas!$G$6:$G$12,WEEKDAY($B485,1)))</f>
        <v/>
      </c>
      <c r="K485" s="43" t="str">
        <f aca="false">IFERROR(IF($L485="","",TEXT(IF($L485&lt;1,HOUR($L485),INT($L485)),"00")&amp;":00"),"")</f>
        <v/>
      </c>
      <c r="L485" s="44"/>
      <c r="M485" s="45"/>
      <c r="N485" s="46"/>
      <c r="O485" s="45"/>
      <c r="P485" s="2"/>
      <c r="Q485" s="2"/>
      <c r="R485" s="2"/>
      <c r="S485" s="2"/>
      <c r="T485" s="2"/>
      <c r="U485" s="47" t="str">
        <f aca="false">IF($G485="","",IF($G485&lt;0,IF(N($U484)=0,1,$U484+1),0))</f>
        <v/>
      </c>
      <c r="V485" s="47" t="str">
        <f aca="false">IF($G485="","",IF($V484="",'Empieza aquí'!$D$8,$V484)+$G485)</f>
        <v/>
      </c>
      <c r="W485" s="47" t="str">
        <f aca="false">IF($V485="","",MAX(IF($W484="",'Empieza aquí'!$D$8,$W484),$V485))</f>
        <v/>
      </c>
      <c r="X485" s="47" t="str">
        <f aca="false">IF($V485="","",$V485-$W485)</f>
        <v/>
      </c>
      <c r="Y485" s="3"/>
      <c r="Z485" s="3"/>
      <c r="AA485" s="3"/>
      <c r="AB485" s="3"/>
      <c r="AC485" s="3"/>
      <c r="AD485" s="3"/>
      <c r="AE485" s="3"/>
      <c r="AF485" s="3"/>
      <c r="AG485" s="3"/>
      <c r="AH485" s="3"/>
    </row>
    <row r="486" customFormat="false" ht="15" hidden="false" customHeight="true" outlineLevel="0" collapsed="false">
      <c r="A486" s="2"/>
      <c r="B486" s="36"/>
      <c r="C486" s="37"/>
      <c r="D486" s="37"/>
      <c r="E486" s="38"/>
      <c r="F486" s="39"/>
      <c r="G486" s="40" t="str">
        <f aca="false">IF(OR($E486="",$C486="",$D486=""),"",$E486*$D486*IFERROR(INDEX(Listas!$C$6:$C$20,MATCH($C486,Listas!$B$6:$B$20,0)),0)-$D486*IFERROR(INDEX(Listas!$D$6:$D$20,MATCH($C486,Listas!$B$6:$B$20,0)),0))</f>
        <v/>
      </c>
      <c r="H486" s="41" t="str">
        <f aca="false">IF(OR($F486="",$C486="",$D486=""),"",ABS($F486)*$D486*IFERROR(INDEX(Listas!$C$6:$C$20,MATCH($C486,Listas!$B$6:$B$20,0)),0))</f>
        <v/>
      </c>
      <c r="I486" s="42" t="str">
        <f aca="false">IF(OR($E486="",$F486="",$F486=0),"",$E486/ABS($F486))</f>
        <v/>
      </c>
      <c r="J486" s="43" t="str">
        <f aca="false">IF($B486="","",INDEX(Listas!$G$6:$G$12,WEEKDAY($B486,1)))</f>
        <v/>
      </c>
      <c r="K486" s="43" t="str">
        <f aca="false">IFERROR(IF($L486="","",TEXT(IF($L486&lt;1,HOUR($L486),INT($L486)),"00")&amp;":00"),"")</f>
        <v/>
      </c>
      <c r="L486" s="44"/>
      <c r="M486" s="45"/>
      <c r="N486" s="46"/>
      <c r="O486" s="45"/>
      <c r="P486" s="2"/>
      <c r="Q486" s="2"/>
      <c r="R486" s="2"/>
      <c r="S486" s="2"/>
      <c r="T486" s="2"/>
      <c r="U486" s="47" t="str">
        <f aca="false">IF($G486="","",IF($G486&lt;0,IF(N($U485)=0,1,$U485+1),0))</f>
        <v/>
      </c>
      <c r="V486" s="47" t="str">
        <f aca="false">IF($G486="","",IF($V485="",'Empieza aquí'!$D$8,$V485)+$G486)</f>
        <v/>
      </c>
      <c r="W486" s="47" t="str">
        <f aca="false">IF($V486="","",MAX(IF($W485="",'Empieza aquí'!$D$8,$W485),$V486))</f>
        <v/>
      </c>
      <c r="X486" s="47" t="str">
        <f aca="false">IF($V486="","",$V486-$W486)</f>
        <v/>
      </c>
      <c r="Y486" s="3"/>
      <c r="Z486" s="3"/>
      <c r="AA486" s="3"/>
      <c r="AB486" s="3"/>
      <c r="AC486" s="3"/>
      <c r="AD486" s="3"/>
      <c r="AE486" s="3"/>
      <c r="AF486" s="3"/>
      <c r="AG486" s="3"/>
      <c r="AH486" s="3"/>
    </row>
    <row r="487" customFormat="false" ht="15" hidden="false" customHeight="true" outlineLevel="0" collapsed="false">
      <c r="A487" s="2"/>
      <c r="B487" s="36"/>
      <c r="C487" s="37"/>
      <c r="D487" s="37"/>
      <c r="E487" s="38"/>
      <c r="F487" s="39"/>
      <c r="G487" s="40" t="str">
        <f aca="false">IF(OR($E487="",$C487="",$D487=""),"",$E487*$D487*IFERROR(INDEX(Listas!$C$6:$C$20,MATCH($C487,Listas!$B$6:$B$20,0)),0)-$D487*IFERROR(INDEX(Listas!$D$6:$D$20,MATCH($C487,Listas!$B$6:$B$20,0)),0))</f>
        <v/>
      </c>
      <c r="H487" s="41" t="str">
        <f aca="false">IF(OR($F487="",$C487="",$D487=""),"",ABS($F487)*$D487*IFERROR(INDEX(Listas!$C$6:$C$20,MATCH($C487,Listas!$B$6:$B$20,0)),0))</f>
        <v/>
      </c>
      <c r="I487" s="42" t="str">
        <f aca="false">IF(OR($E487="",$F487="",$F487=0),"",$E487/ABS($F487))</f>
        <v/>
      </c>
      <c r="J487" s="43" t="str">
        <f aca="false">IF($B487="","",INDEX(Listas!$G$6:$G$12,WEEKDAY($B487,1)))</f>
        <v/>
      </c>
      <c r="K487" s="43" t="str">
        <f aca="false">IFERROR(IF($L487="","",TEXT(IF($L487&lt;1,HOUR($L487),INT($L487)),"00")&amp;":00"),"")</f>
        <v/>
      </c>
      <c r="L487" s="44"/>
      <c r="M487" s="45"/>
      <c r="N487" s="46"/>
      <c r="O487" s="45"/>
      <c r="P487" s="2"/>
      <c r="Q487" s="2"/>
      <c r="R487" s="2"/>
      <c r="S487" s="2"/>
      <c r="T487" s="2"/>
      <c r="U487" s="47" t="str">
        <f aca="false">IF($G487="","",IF($G487&lt;0,IF(N($U486)=0,1,$U486+1),0))</f>
        <v/>
      </c>
      <c r="V487" s="47" t="str">
        <f aca="false">IF($G487="","",IF($V486="",'Empieza aquí'!$D$8,$V486)+$G487)</f>
        <v/>
      </c>
      <c r="W487" s="47" t="str">
        <f aca="false">IF($V487="","",MAX(IF($W486="",'Empieza aquí'!$D$8,$W486),$V487))</f>
        <v/>
      </c>
      <c r="X487" s="47" t="str">
        <f aca="false">IF($V487="","",$V487-$W487)</f>
        <v/>
      </c>
      <c r="Y487" s="3"/>
      <c r="Z487" s="3"/>
      <c r="AA487" s="3"/>
      <c r="AB487" s="3"/>
      <c r="AC487" s="3"/>
      <c r="AD487" s="3"/>
      <c r="AE487" s="3"/>
      <c r="AF487" s="3"/>
      <c r="AG487" s="3"/>
      <c r="AH487" s="3"/>
    </row>
    <row r="488" customFormat="false" ht="15" hidden="false" customHeight="true" outlineLevel="0" collapsed="false">
      <c r="A488" s="2"/>
      <c r="B488" s="36"/>
      <c r="C488" s="37"/>
      <c r="D488" s="37"/>
      <c r="E488" s="38"/>
      <c r="F488" s="39"/>
      <c r="G488" s="40" t="str">
        <f aca="false">IF(OR($E488="",$C488="",$D488=""),"",$E488*$D488*IFERROR(INDEX(Listas!$C$6:$C$20,MATCH($C488,Listas!$B$6:$B$20,0)),0)-$D488*IFERROR(INDEX(Listas!$D$6:$D$20,MATCH($C488,Listas!$B$6:$B$20,0)),0))</f>
        <v/>
      </c>
      <c r="H488" s="41" t="str">
        <f aca="false">IF(OR($F488="",$C488="",$D488=""),"",ABS($F488)*$D488*IFERROR(INDEX(Listas!$C$6:$C$20,MATCH($C488,Listas!$B$6:$B$20,0)),0))</f>
        <v/>
      </c>
      <c r="I488" s="42" t="str">
        <f aca="false">IF(OR($E488="",$F488="",$F488=0),"",$E488/ABS($F488))</f>
        <v/>
      </c>
      <c r="J488" s="43" t="str">
        <f aca="false">IF($B488="","",INDEX(Listas!$G$6:$G$12,WEEKDAY($B488,1)))</f>
        <v/>
      </c>
      <c r="K488" s="43" t="str">
        <f aca="false">IFERROR(IF($L488="","",TEXT(IF($L488&lt;1,HOUR($L488),INT($L488)),"00")&amp;":00"),"")</f>
        <v/>
      </c>
      <c r="L488" s="44"/>
      <c r="M488" s="45"/>
      <c r="N488" s="46"/>
      <c r="O488" s="45"/>
      <c r="P488" s="2"/>
      <c r="Q488" s="2"/>
      <c r="R488" s="2"/>
      <c r="S488" s="2"/>
      <c r="T488" s="2"/>
      <c r="U488" s="47" t="str">
        <f aca="false">IF($G488="","",IF($G488&lt;0,IF(N($U487)=0,1,$U487+1),0))</f>
        <v/>
      </c>
      <c r="V488" s="47" t="str">
        <f aca="false">IF($G488="","",IF($V487="",'Empieza aquí'!$D$8,$V487)+$G488)</f>
        <v/>
      </c>
      <c r="W488" s="47" t="str">
        <f aca="false">IF($V488="","",MAX(IF($W487="",'Empieza aquí'!$D$8,$W487),$V488))</f>
        <v/>
      </c>
      <c r="X488" s="47" t="str">
        <f aca="false">IF($V488="","",$V488-$W488)</f>
        <v/>
      </c>
      <c r="Y488" s="3"/>
      <c r="Z488" s="3"/>
      <c r="AA488" s="3"/>
      <c r="AB488" s="3"/>
      <c r="AC488" s="3"/>
      <c r="AD488" s="3"/>
      <c r="AE488" s="3"/>
      <c r="AF488" s="3"/>
      <c r="AG488" s="3"/>
      <c r="AH488" s="3"/>
    </row>
    <row r="489" customFormat="false" ht="15" hidden="false" customHeight="true" outlineLevel="0" collapsed="false">
      <c r="A489" s="2"/>
      <c r="B489" s="36"/>
      <c r="C489" s="37"/>
      <c r="D489" s="37"/>
      <c r="E489" s="38"/>
      <c r="F489" s="39"/>
      <c r="G489" s="40" t="str">
        <f aca="false">IF(OR($E489="",$C489="",$D489=""),"",$E489*$D489*IFERROR(INDEX(Listas!$C$6:$C$20,MATCH($C489,Listas!$B$6:$B$20,0)),0)-$D489*IFERROR(INDEX(Listas!$D$6:$D$20,MATCH($C489,Listas!$B$6:$B$20,0)),0))</f>
        <v/>
      </c>
      <c r="H489" s="41" t="str">
        <f aca="false">IF(OR($F489="",$C489="",$D489=""),"",ABS($F489)*$D489*IFERROR(INDEX(Listas!$C$6:$C$20,MATCH($C489,Listas!$B$6:$B$20,0)),0))</f>
        <v/>
      </c>
      <c r="I489" s="42" t="str">
        <f aca="false">IF(OR($E489="",$F489="",$F489=0),"",$E489/ABS($F489))</f>
        <v/>
      </c>
      <c r="J489" s="43" t="str">
        <f aca="false">IF($B489="","",INDEX(Listas!$G$6:$G$12,WEEKDAY($B489,1)))</f>
        <v/>
      </c>
      <c r="K489" s="43" t="str">
        <f aca="false">IFERROR(IF($L489="","",TEXT(IF($L489&lt;1,HOUR($L489),INT($L489)),"00")&amp;":00"),"")</f>
        <v/>
      </c>
      <c r="L489" s="44"/>
      <c r="M489" s="45"/>
      <c r="N489" s="46"/>
      <c r="O489" s="45"/>
      <c r="P489" s="2"/>
      <c r="Q489" s="2"/>
      <c r="R489" s="2"/>
      <c r="S489" s="2"/>
      <c r="T489" s="2"/>
      <c r="U489" s="47" t="str">
        <f aca="false">IF($G489="","",IF($G489&lt;0,IF(N($U488)=0,1,$U488+1),0))</f>
        <v/>
      </c>
      <c r="V489" s="47" t="str">
        <f aca="false">IF($G489="","",IF($V488="",'Empieza aquí'!$D$8,$V488)+$G489)</f>
        <v/>
      </c>
      <c r="W489" s="47" t="str">
        <f aca="false">IF($V489="","",MAX(IF($W488="",'Empieza aquí'!$D$8,$W488),$V489))</f>
        <v/>
      </c>
      <c r="X489" s="47" t="str">
        <f aca="false">IF($V489="","",$V489-$W489)</f>
        <v/>
      </c>
      <c r="Y489" s="3"/>
      <c r="Z489" s="3"/>
      <c r="AA489" s="3"/>
      <c r="AB489" s="3"/>
      <c r="AC489" s="3"/>
      <c r="AD489" s="3"/>
      <c r="AE489" s="3"/>
      <c r="AF489" s="3"/>
      <c r="AG489" s="3"/>
      <c r="AH489" s="3"/>
    </row>
    <row r="490" customFormat="false" ht="15" hidden="false" customHeight="true" outlineLevel="0" collapsed="false">
      <c r="A490" s="2"/>
      <c r="B490" s="36"/>
      <c r="C490" s="37"/>
      <c r="D490" s="37"/>
      <c r="E490" s="38"/>
      <c r="F490" s="39"/>
      <c r="G490" s="40" t="str">
        <f aca="false">IF(OR($E490="",$C490="",$D490=""),"",$E490*$D490*IFERROR(INDEX(Listas!$C$6:$C$20,MATCH($C490,Listas!$B$6:$B$20,0)),0)-$D490*IFERROR(INDEX(Listas!$D$6:$D$20,MATCH($C490,Listas!$B$6:$B$20,0)),0))</f>
        <v/>
      </c>
      <c r="H490" s="41" t="str">
        <f aca="false">IF(OR($F490="",$C490="",$D490=""),"",ABS($F490)*$D490*IFERROR(INDEX(Listas!$C$6:$C$20,MATCH($C490,Listas!$B$6:$B$20,0)),0))</f>
        <v/>
      </c>
      <c r="I490" s="42" t="str">
        <f aca="false">IF(OR($E490="",$F490="",$F490=0),"",$E490/ABS($F490))</f>
        <v/>
      </c>
      <c r="J490" s="43" t="str">
        <f aca="false">IF($B490="","",INDEX(Listas!$G$6:$G$12,WEEKDAY($B490,1)))</f>
        <v/>
      </c>
      <c r="K490" s="43" t="str">
        <f aca="false">IFERROR(IF($L490="","",TEXT(IF($L490&lt;1,HOUR($L490),INT($L490)),"00")&amp;":00"),"")</f>
        <v/>
      </c>
      <c r="L490" s="44"/>
      <c r="M490" s="45"/>
      <c r="N490" s="46"/>
      <c r="O490" s="45"/>
      <c r="P490" s="2"/>
      <c r="Q490" s="2"/>
      <c r="R490" s="2"/>
      <c r="S490" s="2"/>
      <c r="T490" s="2"/>
      <c r="U490" s="47" t="str">
        <f aca="false">IF($G490="","",IF($G490&lt;0,IF(N($U489)=0,1,$U489+1),0))</f>
        <v/>
      </c>
      <c r="V490" s="47" t="str">
        <f aca="false">IF($G490="","",IF($V489="",'Empieza aquí'!$D$8,$V489)+$G490)</f>
        <v/>
      </c>
      <c r="W490" s="47" t="str">
        <f aca="false">IF($V490="","",MAX(IF($W489="",'Empieza aquí'!$D$8,$W489),$V490))</f>
        <v/>
      </c>
      <c r="X490" s="47" t="str">
        <f aca="false">IF($V490="","",$V490-$W490)</f>
        <v/>
      </c>
      <c r="Y490" s="3"/>
      <c r="Z490" s="3"/>
      <c r="AA490" s="3"/>
      <c r="AB490" s="3"/>
      <c r="AC490" s="3"/>
      <c r="AD490" s="3"/>
      <c r="AE490" s="3"/>
      <c r="AF490" s="3"/>
      <c r="AG490" s="3"/>
      <c r="AH490" s="3"/>
    </row>
    <row r="491" customFormat="false" ht="15" hidden="false" customHeight="true" outlineLevel="0" collapsed="false">
      <c r="A491" s="2"/>
      <c r="B491" s="36"/>
      <c r="C491" s="37"/>
      <c r="D491" s="37"/>
      <c r="E491" s="38"/>
      <c r="F491" s="39"/>
      <c r="G491" s="40" t="str">
        <f aca="false">IF(OR($E491="",$C491="",$D491=""),"",$E491*$D491*IFERROR(INDEX(Listas!$C$6:$C$20,MATCH($C491,Listas!$B$6:$B$20,0)),0)-$D491*IFERROR(INDEX(Listas!$D$6:$D$20,MATCH($C491,Listas!$B$6:$B$20,0)),0))</f>
        <v/>
      </c>
      <c r="H491" s="41" t="str">
        <f aca="false">IF(OR($F491="",$C491="",$D491=""),"",ABS($F491)*$D491*IFERROR(INDEX(Listas!$C$6:$C$20,MATCH($C491,Listas!$B$6:$B$20,0)),0))</f>
        <v/>
      </c>
      <c r="I491" s="42" t="str">
        <f aca="false">IF(OR($E491="",$F491="",$F491=0),"",$E491/ABS($F491))</f>
        <v/>
      </c>
      <c r="J491" s="43" t="str">
        <f aca="false">IF($B491="","",INDEX(Listas!$G$6:$G$12,WEEKDAY($B491,1)))</f>
        <v/>
      </c>
      <c r="K491" s="43" t="str">
        <f aca="false">IFERROR(IF($L491="","",TEXT(IF($L491&lt;1,HOUR($L491),INT($L491)),"00")&amp;":00"),"")</f>
        <v/>
      </c>
      <c r="L491" s="44"/>
      <c r="M491" s="45"/>
      <c r="N491" s="46"/>
      <c r="O491" s="45"/>
      <c r="P491" s="2"/>
      <c r="Q491" s="2"/>
      <c r="R491" s="2"/>
      <c r="S491" s="2"/>
      <c r="T491" s="2"/>
      <c r="U491" s="47" t="str">
        <f aca="false">IF($G491="","",IF($G491&lt;0,IF(N($U490)=0,1,$U490+1),0))</f>
        <v/>
      </c>
      <c r="V491" s="47" t="str">
        <f aca="false">IF($G491="","",IF($V490="",'Empieza aquí'!$D$8,$V490)+$G491)</f>
        <v/>
      </c>
      <c r="W491" s="47" t="str">
        <f aca="false">IF($V491="","",MAX(IF($W490="",'Empieza aquí'!$D$8,$W490),$V491))</f>
        <v/>
      </c>
      <c r="X491" s="47" t="str">
        <f aca="false">IF($V491="","",$V491-$W491)</f>
        <v/>
      </c>
      <c r="Y491" s="3"/>
      <c r="Z491" s="3"/>
      <c r="AA491" s="3"/>
      <c r="AB491" s="3"/>
      <c r="AC491" s="3"/>
      <c r="AD491" s="3"/>
      <c r="AE491" s="3"/>
      <c r="AF491" s="3"/>
      <c r="AG491" s="3"/>
      <c r="AH491" s="3"/>
    </row>
    <row r="492" customFormat="false" ht="15" hidden="false" customHeight="true" outlineLevel="0" collapsed="false">
      <c r="A492" s="2"/>
      <c r="B492" s="36"/>
      <c r="C492" s="37"/>
      <c r="D492" s="37"/>
      <c r="E492" s="38"/>
      <c r="F492" s="39"/>
      <c r="G492" s="40" t="str">
        <f aca="false">IF(OR($E492="",$C492="",$D492=""),"",$E492*$D492*IFERROR(INDEX(Listas!$C$6:$C$20,MATCH($C492,Listas!$B$6:$B$20,0)),0)-$D492*IFERROR(INDEX(Listas!$D$6:$D$20,MATCH($C492,Listas!$B$6:$B$20,0)),0))</f>
        <v/>
      </c>
      <c r="H492" s="41" t="str">
        <f aca="false">IF(OR($F492="",$C492="",$D492=""),"",ABS($F492)*$D492*IFERROR(INDEX(Listas!$C$6:$C$20,MATCH($C492,Listas!$B$6:$B$20,0)),0))</f>
        <v/>
      </c>
      <c r="I492" s="42" t="str">
        <f aca="false">IF(OR($E492="",$F492="",$F492=0),"",$E492/ABS($F492))</f>
        <v/>
      </c>
      <c r="J492" s="43" t="str">
        <f aca="false">IF($B492="","",INDEX(Listas!$G$6:$G$12,WEEKDAY($B492,1)))</f>
        <v/>
      </c>
      <c r="K492" s="43" t="str">
        <f aca="false">IFERROR(IF($L492="","",TEXT(IF($L492&lt;1,HOUR($L492),INT($L492)),"00")&amp;":00"),"")</f>
        <v/>
      </c>
      <c r="L492" s="44"/>
      <c r="M492" s="45"/>
      <c r="N492" s="46"/>
      <c r="O492" s="45"/>
      <c r="P492" s="2"/>
      <c r="Q492" s="2"/>
      <c r="R492" s="2"/>
      <c r="S492" s="2"/>
      <c r="T492" s="2"/>
      <c r="U492" s="47" t="str">
        <f aca="false">IF($G492="","",IF($G492&lt;0,IF(N($U491)=0,1,$U491+1),0))</f>
        <v/>
      </c>
      <c r="V492" s="47" t="str">
        <f aca="false">IF($G492="","",IF($V491="",'Empieza aquí'!$D$8,$V491)+$G492)</f>
        <v/>
      </c>
      <c r="W492" s="47" t="str">
        <f aca="false">IF($V492="","",MAX(IF($W491="",'Empieza aquí'!$D$8,$W491),$V492))</f>
        <v/>
      </c>
      <c r="X492" s="47" t="str">
        <f aca="false">IF($V492="","",$V492-$W492)</f>
        <v/>
      </c>
      <c r="Y492" s="3"/>
      <c r="Z492" s="3"/>
      <c r="AA492" s="3"/>
      <c r="AB492" s="3"/>
      <c r="AC492" s="3"/>
      <c r="AD492" s="3"/>
      <c r="AE492" s="3"/>
      <c r="AF492" s="3"/>
      <c r="AG492" s="3"/>
      <c r="AH492" s="3"/>
    </row>
    <row r="493" customFormat="false" ht="15" hidden="false" customHeight="true" outlineLevel="0" collapsed="false">
      <c r="A493" s="2"/>
      <c r="B493" s="36"/>
      <c r="C493" s="37"/>
      <c r="D493" s="37"/>
      <c r="E493" s="38"/>
      <c r="F493" s="39"/>
      <c r="G493" s="40" t="str">
        <f aca="false">IF(OR($E493="",$C493="",$D493=""),"",$E493*$D493*IFERROR(INDEX(Listas!$C$6:$C$20,MATCH($C493,Listas!$B$6:$B$20,0)),0)-$D493*IFERROR(INDEX(Listas!$D$6:$D$20,MATCH($C493,Listas!$B$6:$B$20,0)),0))</f>
        <v/>
      </c>
      <c r="H493" s="41" t="str">
        <f aca="false">IF(OR($F493="",$C493="",$D493=""),"",ABS($F493)*$D493*IFERROR(INDEX(Listas!$C$6:$C$20,MATCH($C493,Listas!$B$6:$B$20,0)),0))</f>
        <v/>
      </c>
      <c r="I493" s="42" t="str">
        <f aca="false">IF(OR($E493="",$F493="",$F493=0),"",$E493/ABS($F493))</f>
        <v/>
      </c>
      <c r="J493" s="43" t="str">
        <f aca="false">IF($B493="","",INDEX(Listas!$G$6:$G$12,WEEKDAY($B493,1)))</f>
        <v/>
      </c>
      <c r="K493" s="43" t="str">
        <f aca="false">IFERROR(IF($L493="","",TEXT(IF($L493&lt;1,HOUR($L493),INT($L493)),"00")&amp;":00"),"")</f>
        <v/>
      </c>
      <c r="L493" s="44"/>
      <c r="M493" s="45"/>
      <c r="N493" s="46"/>
      <c r="O493" s="45"/>
      <c r="P493" s="2"/>
      <c r="Q493" s="2"/>
      <c r="R493" s="2"/>
      <c r="S493" s="2"/>
      <c r="T493" s="2"/>
      <c r="U493" s="47" t="str">
        <f aca="false">IF($G493="","",IF($G493&lt;0,IF(N($U492)=0,1,$U492+1),0))</f>
        <v/>
      </c>
      <c r="V493" s="47" t="str">
        <f aca="false">IF($G493="","",IF($V492="",'Empieza aquí'!$D$8,$V492)+$G493)</f>
        <v/>
      </c>
      <c r="W493" s="47" t="str">
        <f aca="false">IF($V493="","",MAX(IF($W492="",'Empieza aquí'!$D$8,$W492),$V493))</f>
        <v/>
      </c>
      <c r="X493" s="47" t="str">
        <f aca="false">IF($V493="","",$V493-$W493)</f>
        <v/>
      </c>
      <c r="Y493" s="3"/>
      <c r="Z493" s="3"/>
      <c r="AA493" s="3"/>
      <c r="AB493" s="3"/>
      <c r="AC493" s="3"/>
      <c r="AD493" s="3"/>
      <c r="AE493" s="3"/>
      <c r="AF493" s="3"/>
      <c r="AG493" s="3"/>
      <c r="AH493" s="3"/>
    </row>
    <row r="494" customFormat="false" ht="15" hidden="false" customHeight="true" outlineLevel="0" collapsed="false">
      <c r="A494" s="2"/>
      <c r="B494" s="36"/>
      <c r="C494" s="37"/>
      <c r="D494" s="37"/>
      <c r="E494" s="38"/>
      <c r="F494" s="39"/>
      <c r="G494" s="40" t="str">
        <f aca="false">IF(OR($E494="",$C494="",$D494=""),"",$E494*$D494*IFERROR(INDEX(Listas!$C$6:$C$20,MATCH($C494,Listas!$B$6:$B$20,0)),0)-$D494*IFERROR(INDEX(Listas!$D$6:$D$20,MATCH($C494,Listas!$B$6:$B$20,0)),0))</f>
        <v/>
      </c>
      <c r="H494" s="41" t="str">
        <f aca="false">IF(OR($F494="",$C494="",$D494=""),"",ABS($F494)*$D494*IFERROR(INDEX(Listas!$C$6:$C$20,MATCH($C494,Listas!$B$6:$B$20,0)),0))</f>
        <v/>
      </c>
      <c r="I494" s="42" t="str">
        <f aca="false">IF(OR($E494="",$F494="",$F494=0),"",$E494/ABS($F494))</f>
        <v/>
      </c>
      <c r="J494" s="43" t="str">
        <f aca="false">IF($B494="","",INDEX(Listas!$G$6:$G$12,WEEKDAY($B494,1)))</f>
        <v/>
      </c>
      <c r="K494" s="43" t="str">
        <f aca="false">IFERROR(IF($L494="","",TEXT(IF($L494&lt;1,HOUR($L494),INT($L494)),"00")&amp;":00"),"")</f>
        <v/>
      </c>
      <c r="L494" s="44"/>
      <c r="M494" s="45"/>
      <c r="N494" s="46"/>
      <c r="O494" s="45"/>
      <c r="P494" s="2"/>
      <c r="Q494" s="2"/>
      <c r="R494" s="2"/>
      <c r="S494" s="2"/>
      <c r="T494" s="2"/>
      <c r="U494" s="47" t="str">
        <f aca="false">IF($G494="","",IF($G494&lt;0,IF(N($U493)=0,1,$U493+1),0))</f>
        <v/>
      </c>
      <c r="V494" s="47" t="str">
        <f aca="false">IF($G494="","",IF($V493="",'Empieza aquí'!$D$8,$V493)+$G494)</f>
        <v/>
      </c>
      <c r="W494" s="47" t="str">
        <f aca="false">IF($V494="","",MAX(IF($W493="",'Empieza aquí'!$D$8,$W493),$V494))</f>
        <v/>
      </c>
      <c r="X494" s="47" t="str">
        <f aca="false">IF($V494="","",$V494-$W494)</f>
        <v/>
      </c>
      <c r="Y494" s="3"/>
      <c r="Z494" s="3"/>
      <c r="AA494" s="3"/>
      <c r="AB494" s="3"/>
      <c r="AC494" s="3"/>
      <c r="AD494" s="3"/>
      <c r="AE494" s="3"/>
      <c r="AF494" s="3"/>
      <c r="AG494" s="3"/>
      <c r="AH494" s="3"/>
    </row>
    <row r="495" customFormat="false" ht="15" hidden="false" customHeight="true" outlineLevel="0" collapsed="false">
      <c r="A495" s="2"/>
      <c r="B495" s="36"/>
      <c r="C495" s="37"/>
      <c r="D495" s="37"/>
      <c r="E495" s="38"/>
      <c r="F495" s="39"/>
      <c r="G495" s="40" t="str">
        <f aca="false">IF(OR($E495="",$C495="",$D495=""),"",$E495*$D495*IFERROR(INDEX(Listas!$C$6:$C$20,MATCH($C495,Listas!$B$6:$B$20,0)),0)-$D495*IFERROR(INDEX(Listas!$D$6:$D$20,MATCH($C495,Listas!$B$6:$B$20,0)),0))</f>
        <v/>
      </c>
      <c r="H495" s="41" t="str">
        <f aca="false">IF(OR($F495="",$C495="",$D495=""),"",ABS($F495)*$D495*IFERROR(INDEX(Listas!$C$6:$C$20,MATCH($C495,Listas!$B$6:$B$20,0)),0))</f>
        <v/>
      </c>
      <c r="I495" s="42" t="str">
        <f aca="false">IF(OR($E495="",$F495="",$F495=0),"",$E495/ABS($F495))</f>
        <v/>
      </c>
      <c r="J495" s="43" t="str">
        <f aca="false">IF($B495="","",INDEX(Listas!$G$6:$G$12,WEEKDAY($B495,1)))</f>
        <v/>
      </c>
      <c r="K495" s="43" t="str">
        <f aca="false">IFERROR(IF($L495="","",TEXT(IF($L495&lt;1,HOUR($L495),INT($L495)),"00")&amp;":00"),"")</f>
        <v/>
      </c>
      <c r="L495" s="44"/>
      <c r="M495" s="45"/>
      <c r="N495" s="46"/>
      <c r="O495" s="45"/>
      <c r="P495" s="2"/>
      <c r="Q495" s="2"/>
      <c r="R495" s="2"/>
      <c r="S495" s="2"/>
      <c r="T495" s="2"/>
      <c r="U495" s="47" t="str">
        <f aca="false">IF($G495="","",IF($G495&lt;0,IF(N($U494)=0,1,$U494+1),0))</f>
        <v/>
      </c>
      <c r="V495" s="47" t="str">
        <f aca="false">IF($G495="","",IF($V494="",'Empieza aquí'!$D$8,$V494)+$G495)</f>
        <v/>
      </c>
      <c r="W495" s="47" t="str">
        <f aca="false">IF($V495="","",MAX(IF($W494="",'Empieza aquí'!$D$8,$W494),$V495))</f>
        <v/>
      </c>
      <c r="X495" s="47" t="str">
        <f aca="false">IF($V495="","",$V495-$W495)</f>
        <v/>
      </c>
      <c r="Y495" s="3"/>
      <c r="Z495" s="3"/>
      <c r="AA495" s="3"/>
      <c r="AB495" s="3"/>
      <c r="AC495" s="3"/>
      <c r="AD495" s="3"/>
      <c r="AE495" s="3"/>
      <c r="AF495" s="3"/>
      <c r="AG495" s="3"/>
      <c r="AH495" s="3"/>
    </row>
    <row r="496" customFormat="false" ht="15" hidden="false" customHeight="true" outlineLevel="0" collapsed="false">
      <c r="A496" s="2"/>
      <c r="B496" s="36"/>
      <c r="C496" s="37"/>
      <c r="D496" s="37"/>
      <c r="E496" s="38"/>
      <c r="F496" s="39"/>
      <c r="G496" s="40" t="str">
        <f aca="false">IF(OR($E496="",$C496="",$D496=""),"",$E496*$D496*IFERROR(INDEX(Listas!$C$6:$C$20,MATCH($C496,Listas!$B$6:$B$20,0)),0)-$D496*IFERROR(INDEX(Listas!$D$6:$D$20,MATCH($C496,Listas!$B$6:$B$20,0)),0))</f>
        <v/>
      </c>
      <c r="H496" s="41" t="str">
        <f aca="false">IF(OR($F496="",$C496="",$D496=""),"",ABS($F496)*$D496*IFERROR(INDEX(Listas!$C$6:$C$20,MATCH($C496,Listas!$B$6:$B$20,0)),0))</f>
        <v/>
      </c>
      <c r="I496" s="42" t="str">
        <f aca="false">IF(OR($E496="",$F496="",$F496=0),"",$E496/ABS($F496))</f>
        <v/>
      </c>
      <c r="J496" s="43" t="str">
        <f aca="false">IF($B496="","",INDEX(Listas!$G$6:$G$12,WEEKDAY($B496,1)))</f>
        <v/>
      </c>
      <c r="K496" s="43" t="str">
        <f aca="false">IFERROR(IF($L496="","",TEXT(IF($L496&lt;1,HOUR($L496),INT($L496)),"00")&amp;":00"),"")</f>
        <v/>
      </c>
      <c r="L496" s="44"/>
      <c r="M496" s="45"/>
      <c r="N496" s="46"/>
      <c r="O496" s="45"/>
      <c r="P496" s="2"/>
      <c r="Q496" s="2"/>
      <c r="R496" s="2"/>
      <c r="S496" s="2"/>
      <c r="T496" s="2"/>
      <c r="U496" s="47" t="str">
        <f aca="false">IF($G496="","",IF($G496&lt;0,IF(N($U495)=0,1,$U495+1),0))</f>
        <v/>
      </c>
      <c r="V496" s="47" t="str">
        <f aca="false">IF($G496="","",IF($V495="",'Empieza aquí'!$D$8,$V495)+$G496)</f>
        <v/>
      </c>
      <c r="W496" s="47" t="str">
        <f aca="false">IF($V496="","",MAX(IF($W495="",'Empieza aquí'!$D$8,$W495),$V496))</f>
        <v/>
      </c>
      <c r="X496" s="47" t="str">
        <f aca="false">IF($V496="","",$V496-$W496)</f>
        <v/>
      </c>
      <c r="Y496" s="3"/>
      <c r="Z496" s="3"/>
      <c r="AA496" s="3"/>
      <c r="AB496" s="3"/>
      <c r="AC496" s="3"/>
      <c r="AD496" s="3"/>
      <c r="AE496" s="3"/>
      <c r="AF496" s="3"/>
      <c r="AG496" s="3"/>
      <c r="AH496" s="3"/>
    </row>
    <row r="497" customFormat="false" ht="15" hidden="false" customHeight="true" outlineLevel="0" collapsed="false">
      <c r="A497" s="2"/>
      <c r="B497" s="36"/>
      <c r="C497" s="37"/>
      <c r="D497" s="37"/>
      <c r="E497" s="38"/>
      <c r="F497" s="39"/>
      <c r="G497" s="40" t="str">
        <f aca="false">IF(OR($E497="",$C497="",$D497=""),"",$E497*$D497*IFERROR(INDEX(Listas!$C$6:$C$20,MATCH($C497,Listas!$B$6:$B$20,0)),0)-$D497*IFERROR(INDEX(Listas!$D$6:$D$20,MATCH($C497,Listas!$B$6:$B$20,0)),0))</f>
        <v/>
      </c>
      <c r="H497" s="41" t="str">
        <f aca="false">IF(OR($F497="",$C497="",$D497=""),"",ABS($F497)*$D497*IFERROR(INDEX(Listas!$C$6:$C$20,MATCH($C497,Listas!$B$6:$B$20,0)),0))</f>
        <v/>
      </c>
      <c r="I497" s="42" t="str">
        <f aca="false">IF(OR($E497="",$F497="",$F497=0),"",$E497/ABS($F497))</f>
        <v/>
      </c>
      <c r="J497" s="43" t="str">
        <f aca="false">IF($B497="","",INDEX(Listas!$G$6:$G$12,WEEKDAY($B497,1)))</f>
        <v/>
      </c>
      <c r="K497" s="43" t="str">
        <f aca="false">IFERROR(IF($L497="","",TEXT(IF($L497&lt;1,HOUR($L497),INT($L497)),"00")&amp;":00"),"")</f>
        <v/>
      </c>
      <c r="L497" s="44"/>
      <c r="M497" s="45"/>
      <c r="N497" s="46"/>
      <c r="O497" s="45"/>
      <c r="P497" s="2"/>
      <c r="Q497" s="2"/>
      <c r="R497" s="2"/>
      <c r="S497" s="2"/>
      <c r="T497" s="2"/>
      <c r="U497" s="47" t="str">
        <f aca="false">IF($G497="","",IF($G497&lt;0,IF(N($U496)=0,1,$U496+1),0))</f>
        <v/>
      </c>
      <c r="V497" s="47" t="str">
        <f aca="false">IF($G497="","",IF($V496="",'Empieza aquí'!$D$8,$V496)+$G497)</f>
        <v/>
      </c>
      <c r="W497" s="47" t="str">
        <f aca="false">IF($V497="","",MAX(IF($W496="",'Empieza aquí'!$D$8,$W496),$V497))</f>
        <v/>
      </c>
      <c r="X497" s="47" t="str">
        <f aca="false">IF($V497="","",$V497-$W497)</f>
        <v/>
      </c>
      <c r="Y497" s="3"/>
      <c r="Z497" s="3"/>
      <c r="AA497" s="3"/>
      <c r="AB497" s="3"/>
      <c r="AC497" s="3"/>
      <c r="AD497" s="3"/>
      <c r="AE497" s="3"/>
      <c r="AF497" s="3"/>
      <c r="AG497" s="3"/>
      <c r="AH497" s="3"/>
    </row>
    <row r="498" customFormat="false" ht="15" hidden="false" customHeight="true" outlineLevel="0" collapsed="false">
      <c r="A498" s="2"/>
      <c r="B498" s="36"/>
      <c r="C498" s="37"/>
      <c r="D498" s="37"/>
      <c r="E498" s="38"/>
      <c r="F498" s="39"/>
      <c r="G498" s="40" t="str">
        <f aca="false">IF(OR($E498="",$C498="",$D498=""),"",$E498*$D498*IFERROR(INDEX(Listas!$C$6:$C$20,MATCH($C498,Listas!$B$6:$B$20,0)),0)-$D498*IFERROR(INDEX(Listas!$D$6:$D$20,MATCH($C498,Listas!$B$6:$B$20,0)),0))</f>
        <v/>
      </c>
      <c r="H498" s="41" t="str">
        <f aca="false">IF(OR($F498="",$C498="",$D498=""),"",ABS($F498)*$D498*IFERROR(INDEX(Listas!$C$6:$C$20,MATCH($C498,Listas!$B$6:$B$20,0)),0))</f>
        <v/>
      </c>
      <c r="I498" s="42" t="str">
        <f aca="false">IF(OR($E498="",$F498="",$F498=0),"",$E498/ABS($F498))</f>
        <v/>
      </c>
      <c r="J498" s="43" t="str">
        <f aca="false">IF($B498="","",INDEX(Listas!$G$6:$G$12,WEEKDAY($B498,1)))</f>
        <v/>
      </c>
      <c r="K498" s="43" t="str">
        <f aca="false">IFERROR(IF($L498="","",TEXT(IF($L498&lt;1,HOUR($L498),INT($L498)),"00")&amp;":00"),"")</f>
        <v/>
      </c>
      <c r="L498" s="44"/>
      <c r="M498" s="45"/>
      <c r="N498" s="46"/>
      <c r="O498" s="45"/>
      <c r="P498" s="2"/>
      <c r="Q498" s="2"/>
      <c r="R498" s="2"/>
      <c r="S498" s="2"/>
      <c r="T498" s="2"/>
      <c r="U498" s="47" t="str">
        <f aca="false">IF($G498="","",IF($G498&lt;0,IF(N($U497)=0,1,$U497+1),0))</f>
        <v/>
      </c>
      <c r="V498" s="47" t="str">
        <f aca="false">IF($G498="","",IF($V497="",'Empieza aquí'!$D$8,$V497)+$G498)</f>
        <v/>
      </c>
      <c r="W498" s="47" t="str">
        <f aca="false">IF($V498="","",MAX(IF($W497="",'Empieza aquí'!$D$8,$W497),$V498))</f>
        <v/>
      </c>
      <c r="X498" s="47" t="str">
        <f aca="false">IF($V498="","",$V498-$W498)</f>
        <v/>
      </c>
      <c r="Y498" s="3"/>
      <c r="Z498" s="3"/>
      <c r="AA498" s="3"/>
      <c r="AB498" s="3"/>
      <c r="AC498" s="3"/>
      <c r="AD498" s="3"/>
      <c r="AE498" s="3"/>
      <c r="AF498" s="3"/>
      <c r="AG498" s="3"/>
      <c r="AH498" s="3"/>
    </row>
    <row r="499" customFormat="false" ht="15" hidden="false" customHeight="true" outlineLevel="0" collapsed="false">
      <c r="A499" s="2"/>
      <c r="B499" s="36"/>
      <c r="C499" s="37"/>
      <c r="D499" s="37"/>
      <c r="E499" s="38"/>
      <c r="F499" s="39"/>
      <c r="G499" s="40" t="str">
        <f aca="false">IF(OR($E499="",$C499="",$D499=""),"",$E499*$D499*IFERROR(INDEX(Listas!$C$6:$C$20,MATCH($C499,Listas!$B$6:$B$20,0)),0)-$D499*IFERROR(INDEX(Listas!$D$6:$D$20,MATCH($C499,Listas!$B$6:$B$20,0)),0))</f>
        <v/>
      </c>
      <c r="H499" s="41" t="str">
        <f aca="false">IF(OR($F499="",$C499="",$D499=""),"",ABS($F499)*$D499*IFERROR(INDEX(Listas!$C$6:$C$20,MATCH($C499,Listas!$B$6:$B$20,0)),0))</f>
        <v/>
      </c>
      <c r="I499" s="42" t="str">
        <f aca="false">IF(OR($E499="",$F499="",$F499=0),"",$E499/ABS($F499))</f>
        <v/>
      </c>
      <c r="J499" s="43" t="str">
        <f aca="false">IF($B499="","",INDEX(Listas!$G$6:$G$12,WEEKDAY($B499,1)))</f>
        <v/>
      </c>
      <c r="K499" s="43" t="str">
        <f aca="false">IFERROR(IF($L499="","",TEXT(IF($L499&lt;1,HOUR($L499),INT($L499)),"00")&amp;":00"),"")</f>
        <v/>
      </c>
      <c r="L499" s="44"/>
      <c r="M499" s="45"/>
      <c r="N499" s="46"/>
      <c r="O499" s="45"/>
      <c r="P499" s="2"/>
      <c r="Q499" s="2"/>
      <c r="R499" s="2"/>
      <c r="S499" s="2"/>
      <c r="T499" s="2"/>
      <c r="U499" s="47" t="str">
        <f aca="false">IF($G499="","",IF($G499&lt;0,IF(N($U498)=0,1,$U498+1),0))</f>
        <v/>
      </c>
      <c r="V499" s="47" t="str">
        <f aca="false">IF($G499="","",IF($V498="",'Empieza aquí'!$D$8,$V498)+$G499)</f>
        <v/>
      </c>
      <c r="W499" s="47" t="str">
        <f aca="false">IF($V499="","",MAX(IF($W498="",'Empieza aquí'!$D$8,$W498),$V499))</f>
        <v/>
      </c>
      <c r="X499" s="47" t="str">
        <f aca="false">IF($V499="","",$V499-$W499)</f>
        <v/>
      </c>
      <c r="Y499" s="3"/>
      <c r="Z499" s="3"/>
      <c r="AA499" s="3"/>
      <c r="AB499" s="3"/>
      <c r="AC499" s="3"/>
      <c r="AD499" s="3"/>
      <c r="AE499" s="3"/>
      <c r="AF499" s="3"/>
      <c r="AG499" s="3"/>
      <c r="AH499" s="3"/>
    </row>
    <row r="500" customFormat="false" ht="15" hidden="false" customHeight="true" outlineLevel="0" collapsed="false">
      <c r="A500" s="2"/>
      <c r="B500" s="36"/>
      <c r="C500" s="37"/>
      <c r="D500" s="37"/>
      <c r="E500" s="38"/>
      <c r="F500" s="39"/>
      <c r="G500" s="40" t="str">
        <f aca="false">IF(OR($E500="",$C500="",$D500=""),"",$E500*$D500*IFERROR(INDEX(Listas!$C$6:$C$20,MATCH($C500,Listas!$B$6:$B$20,0)),0)-$D500*IFERROR(INDEX(Listas!$D$6:$D$20,MATCH($C500,Listas!$B$6:$B$20,0)),0))</f>
        <v/>
      </c>
      <c r="H500" s="41" t="str">
        <f aca="false">IF(OR($F500="",$C500="",$D500=""),"",ABS($F500)*$D500*IFERROR(INDEX(Listas!$C$6:$C$20,MATCH($C500,Listas!$B$6:$B$20,0)),0))</f>
        <v/>
      </c>
      <c r="I500" s="42" t="str">
        <f aca="false">IF(OR($E500="",$F500="",$F500=0),"",$E500/ABS($F500))</f>
        <v/>
      </c>
      <c r="J500" s="43" t="str">
        <f aca="false">IF($B500="","",INDEX(Listas!$G$6:$G$12,WEEKDAY($B500,1)))</f>
        <v/>
      </c>
      <c r="K500" s="43" t="str">
        <f aca="false">IFERROR(IF($L500="","",TEXT(IF($L500&lt;1,HOUR($L500),INT($L500)),"00")&amp;":00"),"")</f>
        <v/>
      </c>
      <c r="L500" s="44"/>
      <c r="M500" s="45"/>
      <c r="N500" s="46"/>
      <c r="O500" s="45"/>
      <c r="P500" s="2"/>
      <c r="Q500" s="2"/>
      <c r="R500" s="2"/>
      <c r="S500" s="2"/>
      <c r="T500" s="2"/>
      <c r="U500" s="47" t="str">
        <f aca="false">IF($G500="","",IF($G500&lt;0,IF(N($U499)=0,1,$U499+1),0))</f>
        <v/>
      </c>
      <c r="V500" s="47" t="str">
        <f aca="false">IF($G500="","",IF($V499="",'Empieza aquí'!$D$8,$V499)+$G500)</f>
        <v/>
      </c>
      <c r="W500" s="47" t="str">
        <f aca="false">IF($V500="","",MAX(IF($W499="",'Empieza aquí'!$D$8,$W499),$V500))</f>
        <v/>
      </c>
      <c r="X500" s="47" t="str">
        <f aca="false">IF($V500="","",$V500-$W500)</f>
        <v/>
      </c>
      <c r="Y500" s="3"/>
      <c r="Z500" s="3"/>
      <c r="AA500" s="3"/>
      <c r="AB500" s="3"/>
      <c r="AC500" s="3"/>
      <c r="AD500" s="3"/>
      <c r="AE500" s="3"/>
      <c r="AF500" s="3"/>
      <c r="AG500" s="3"/>
      <c r="AH500" s="3"/>
    </row>
    <row r="501" customFormat="false" ht="15" hidden="false" customHeight="true" outlineLevel="0" collapsed="false">
      <c r="A501" s="2"/>
      <c r="B501" s="36"/>
      <c r="C501" s="37"/>
      <c r="D501" s="37"/>
      <c r="E501" s="38"/>
      <c r="F501" s="39"/>
      <c r="G501" s="40" t="str">
        <f aca="false">IF(OR($E501="",$C501="",$D501=""),"",$E501*$D501*IFERROR(INDEX(Listas!$C$6:$C$20,MATCH($C501,Listas!$B$6:$B$20,0)),0)-$D501*IFERROR(INDEX(Listas!$D$6:$D$20,MATCH($C501,Listas!$B$6:$B$20,0)),0))</f>
        <v/>
      </c>
      <c r="H501" s="41" t="str">
        <f aca="false">IF(OR($F501="",$C501="",$D501=""),"",ABS($F501)*$D501*IFERROR(INDEX(Listas!$C$6:$C$20,MATCH($C501,Listas!$B$6:$B$20,0)),0))</f>
        <v/>
      </c>
      <c r="I501" s="42" t="str">
        <f aca="false">IF(OR($E501="",$F501="",$F501=0),"",$E501/ABS($F501))</f>
        <v/>
      </c>
      <c r="J501" s="43" t="str">
        <f aca="false">IF($B501="","",INDEX(Listas!$G$6:$G$12,WEEKDAY($B501,1)))</f>
        <v/>
      </c>
      <c r="K501" s="43" t="str">
        <f aca="false">IFERROR(IF($L501="","",TEXT(IF($L501&lt;1,HOUR($L501),INT($L501)),"00")&amp;":00"),"")</f>
        <v/>
      </c>
      <c r="L501" s="44"/>
      <c r="M501" s="45"/>
      <c r="N501" s="46"/>
      <c r="O501" s="45"/>
      <c r="P501" s="2"/>
      <c r="Q501" s="2"/>
      <c r="R501" s="2"/>
      <c r="S501" s="2"/>
      <c r="T501" s="2"/>
      <c r="U501" s="47" t="str">
        <f aca="false">IF($G501="","",IF($G501&lt;0,IF(N($U500)=0,1,$U500+1),0))</f>
        <v/>
      </c>
      <c r="V501" s="47" t="str">
        <f aca="false">IF($G501="","",IF($V500="",'Empieza aquí'!$D$8,$V500)+$G501)</f>
        <v/>
      </c>
      <c r="W501" s="47" t="str">
        <f aca="false">IF($V501="","",MAX(IF($W500="",'Empieza aquí'!$D$8,$W500),$V501))</f>
        <v/>
      </c>
      <c r="X501" s="47" t="str">
        <f aca="false">IF($V501="","",$V501-$W501)</f>
        <v/>
      </c>
      <c r="Y501" s="3"/>
      <c r="Z501" s="3"/>
      <c r="AA501" s="3"/>
      <c r="AB501" s="3"/>
      <c r="AC501" s="3"/>
      <c r="AD501" s="3"/>
      <c r="AE501" s="3"/>
      <c r="AF501" s="3"/>
      <c r="AG501" s="3"/>
      <c r="AH501" s="3"/>
    </row>
    <row r="502" customFormat="false" ht="15" hidden="false" customHeight="true" outlineLevel="0" collapsed="false">
      <c r="A502" s="2"/>
      <c r="B502" s="36"/>
      <c r="C502" s="37"/>
      <c r="D502" s="37"/>
      <c r="E502" s="38"/>
      <c r="F502" s="39"/>
      <c r="G502" s="40" t="str">
        <f aca="false">IF(OR($E502="",$C502="",$D502=""),"",$E502*$D502*IFERROR(INDEX(Listas!$C$6:$C$20,MATCH($C502,Listas!$B$6:$B$20,0)),0)-$D502*IFERROR(INDEX(Listas!$D$6:$D$20,MATCH($C502,Listas!$B$6:$B$20,0)),0))</f>
        <v/>
      </c>
      <c r="H502" s="41" t="str">
        <f aca="false">IF(OR($F502="",$C502="",$D502=""),"",ABS($F502)*$D502*IFERROR(INDEX(Listas!$C$6:$C$20,MATCH($C502,Listas!$B$6:$B$20,0)),0))</f>
        <v/>
      </c>
      <c r="I502" s="42" t="str">
        <f aca="false">IF(OR($E502="",$F502="",$F502=0),"",$E502/ABS($F502))</f>
        <v/>
      </c>
      <c r="J502" s="43" t="str">
        <f aca="false">IF($B502="","",INDEX(Listas!$G$6:$G$12,WEEKDAY($B502,1)))</f>
        <v/>
      </c>
      <c r="K502" s="43" t="str">
        <f aca="false">IFERROR(IF($L502="","",TEXT(IF($L502&lt;1,HOUR($L502),INT($L502)),"00")&amp;":00"),"")</f>
        <v/>
      </c>
      <c r="L502" s="44"/>
      <c r="M502" s="45"/>
      <c r="N502" s="46"/>
      <c r="O502" s="45"/>
      <c r="P502" s="2"/>
      <c r="Q502" s="2"/>
      <c r="R502" s="2"/>
      <c r="S502" s="2"/>
      <c r="T502" s="2"/>
      <c r="U502" s="47" t="str">
        <f aca="false">IF($G502="","",IF($G502&lt;0,IF(N($U501)=0,1,$U501+1),0))</f>
        <v/>
      </c>
      <c r="V502" s="47" t="str">
        <f aca="false">IF($G502="","",IF($V501="",'Empieza aquí'!$D$8,$V501)+$G502)</f>
        <v/>
      </c>
      <c r="W502" s="47" t="str">
        <f aca="false">IF($V502="","",MAX(IF($W501="",'Empieza aquí'!$D$8,$W501),$V502))</f>
        <v/>
      </c>
      <c r="X502" s="47" t="str">
        <f aca="false">IF($V502="","",$V502-$W502)</f>
        <v/>
      </c>
      <c r="Y502" s="3"/>
      <c r="Z502" s="3"/>
      <c r="AA502" s="3"/>
      <c r="AB502" s="3"/>
      <c r="AC502" s="3"/>
      <c r="AD502" s="3"/>
      <c r="AE502" s="3"/>
      <c r="AF502" s="3"/>
      <c r="AG502" s="3"/>
      <c r="AH502" s="3"/>
    </row>
    <row r="503" customFormat="false" ht="15" hidden="false" customHeight="true" outlineLevel="0" collapsed="false">
      <c r="A503" s="2"/>
      <c r="B503" s="48"/>
      <c r="C503" s="49"/>
      <c r="D503" s="49"/>
      <c r="E503" s="50"/>
      <c r="F503" s="51"/>
      <c r="G503" s="52" t="str">
        <f aca="false">IF(OR($E503="",$C503="",$D503=""),"",$E503*$D503*IFERROR(INDEX(Listas!$C$6:$C$20,MATCH($C503,Listas!$B$6:$B$20,0)),0)-$D503*IFERROR(INDEX(Listas!$D$6:$D$20,MATCH($C503,Listas!$B$6:$B$20,0)),0))</f>
        <v/>
      </c>
      <c r="H503" s="53" t="str">
        <f aca="false">IF(OR($F503="",$C503="",$D503=""),"",ABS($F503)*$D503*IFERROR(INDEX(Listas!$C$6:$C$20,MATCH($C503,Listas!$B$6:$B$20,0)),0))</f>
        <v/>
      </c>
      <c r="I503" s="54" t="str">
        <f aca="false">IF(OR($E503="",$F503="",$F503=0),"",$E503/ABS($F503))</f>
        <v/>
      </c>
      <c r="J503" s="49" t="str">
        <f aca="false">IF($B503="","",INDEX(Listas!$G$6:$G$12,WEEKDAY($B503,1)))</f>
        <v/>
      </c>
      <c r="K503" s="49" t="str">
        <f aca="false">IFERROR(IF($L503="","",TEXT(IF($L503&lt;1,HOUR($L503),INT($L503)),"00")&amp;":00"),"")</f>
        <v/>
      </c>
      <c r="L503" s="44"/>
      <c r="M503" s="45"/>
      <c r="N503" s="46"/>
      <c r="O503" s="45"/>
      <c r="P503" s="2"/>
      <c r="Q503" s="2"/>
      <c r="R503" s="2"/>
      <c r="S503" s="2"/>
      <c r="T503" s="2"/>
      <c r="U503" s="47" t="str">
        <f aca="false">IF($G503="","",IF($G503&lt;0,IF(N($U502)=0,1,$U502+1),0))</f>
        <v/>
      </c>
      <c r="V503" s="47" t="str">
        <f aca="false">IF($G503="","",IF($V502="",'Empieza aquí'!$D$8,$V502)+$G503)</f>
        <v/>
      </c>
      <c r="W503" s="47" t="str">
        <f aca="false">IF($V503="","",MAX(IF($W502="",'Empieza aquí'!$D$8,$W502),$V503))</f>
        <v/>
      </c>
      <c r="X503" s="47" t="str">
        <f aca="false">IF($V503="","",$V503-$W503)</f>
        <v/>
      </c>
      <c r="Y503" s="3"/>
      <c r="Z503" s="3"/>
      <c r="AA503" s="3"/>
      <c r="AB503" s="3"/>
      <c r="AC503" s="3"/>
      <c r="AD503" s="3"/>
      <c r="AE503" s="3"/>
      <c r="AF503" s="3"/>
      <c r="AG503" s="3"/>
      <c r="AH503" s="3"/>
    </row>
    <row r="504" customFormat="false" ht="15" hidden="false" customHeight="true" outlineLevel="0" collapsed="false">
      <c r="A504" s="2"/>
      <c r="B504" s="55"/>
      <c r="C504" s="49"/>
      <c r="D504" s="49"/>
      <c r="E504" s="50"/>
      <c r="F504" s="51"/>
      <c r="G504" s="52" t="str">
        <f aca="false">IF(OR($E504="",$C504="",$D504=""),"",$E504*$D504*IFERROR(INDEX(Listas!$C$6:$C$20,MATCH($C504,Listas!$B$6:$B$20,0)),0)-$D504*IFERROR(INDEX(Listas!$D$6:$D$20,MATCH($C504,Listas!$B$6:$B$20,0)),0))</f>
        <v/>
      </c>
      <c r="H504" s="53" t="str">
        <f aca="false">IF(OR($F504="",$C504="",$D504=""),"",ABS($F504)*$D504*IFERROR(INDEX(Listas!$C$6:$C$20,MATCH($C504,Listas!$B$6:$B$20,0)),0))</f>
        <v/>
      </c>
      <c r="I504" s="54" t="str">
        <f aca="false">IF(OR($E504="",$F504="",$F504=0),"",$E504/ABS($F504))</f>
        <v/>
      </c>
      <c r="J504" s="49" t="str">
        <f aca="false">IF($B504="","",INDEX(Listas!$G$6:$G$12,WEEKDAY($B504,1)))</f>
        <v/>
      </c>
      <c r="K504" s="49" t="str">
        <f aca="false">IFERROR(IF($L504="","",TEXT(IF($L504&lt;1,HOUR($L504),INT($L504)),"00")&amp;":00"),"")</f>
        <v/>
      </c>
      <c r="L504" s="44"/>
      <c r="M504" s="45"/>
      <c r="N504" s="46"/>
      <c r="O504" s="45"/>
      <c r="P504" s="2"/>
      <c r="Q504" s="2"/>
      <c r="R504" s="2"/>
      <c r="S504" s="2"/>
      <c r="T504" s="2"/>
      <c r="U504" s="47" t="str">
        <f aca="false">IF($G504="","",IF($G504&lt;0,IF(N($U503)=0,1,$U503+1),0))</f>
        <v/>
      </c>
      <c r="V504" s="47" t="str">
        <f aca="false">IF($G504="","",IF($V503="",'Empieza aquí'!$D$8,$V503)+$G504)</f>
        <v/>
      </c>
      <c r="W504" s="47" t="str">
        <f aca="false">IF($V504="","",MAX(IF($W503="",'Empieza aquí'!$D$8,$W503),$V504))</f>
        <v/>
      </c>
      <c r="X504" s="47" t="str">
        <f aca="false">IF($V504="","",$V504-$W504)</f>
        <v/>
      </c>
      <c r="Y504" s="3"/>
      <c r="Z504" s="3"/>
      <c r="AA504" s="3"/>
      <c r="AB504" s="3"/>
      <c r="AC504" s="3"/>
      <c r="AD504" s="3"/>
      <c r="AE504" s="3"/>
      <c r="AF504" s="3"/>
      <c r="AG504" s="3"/>
      <c r="AH504" s="3"/>
    </row>
    <row r="505" customFormat="false" ht="15" hidden="false" customHeight="true" outlineLevel="0" collapsed="false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</row>
    <row r="506" customFormat="false" ht="15" hidden="false" customHeight="true" outlineLevel="0" collapsed="false">
      <c r="A506" s="2"/>
      <c r="B506" s="32" t="s">
        <v>76</v>
      </c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</row>
    <row r="507" customFormat="false" ht="15" hidden="false" customHeight="true" outlineLevel="0" collapsed="false">
      <c r="A507" s="2"/>
      <c r="B507" s="30" t="s">
        <v>77</v>
      </c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</row>
    <row r="508" customFormat="false" ht="15" hidden="false" customHeight="true" outlineLevel="0" collapsed="false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</row>
    <row r="509" customFormat="false" ht="15" hidden="false" customHeight="true" outlineLevel="0" collapsed="false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</row>
    <row r="510" customFormat="false" ht="15" hidden="false" customHeight="true" outlineLevel="0" collapsed="false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</row>
    <row r="511" customFormat="false" ht="15" hidden="false" customHeight="true" outlineLevel="0" collapsed="false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</row>
    <row r="512" customFormat="false" ht="15" hidden="false" customHeight="true" outlineLevel="0" collapsed="false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</row>
    <row r="513" customFormat="false" ht="15" hidden="false" customHeight="true" outlineLevel="0" collapsed="false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</row>
    <row r="514" customFormat="false" ht="15" hidden="false" customHeight="true" outlineLevel="0" collapsed="false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</row>
    <row r="515" customFormat="false" ht="15" hidden="false" customHeight="true" outlineLevel="0" collapsed="false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</row>
  </sheetData>
  <autoFilter ref="B4:O504"/>
  <conditionalFormatting sqref="G5:G504">
    <cfRule type="expression" priority="2" aboveAverage="0" equalAverage="0" bottom="0" percent="0" rank="0" text="" dxfId="9">
      <formula>AND($G5&lt;&gt;"",$G5&gt;0)</formula>
    </cfRule>
    <cfRule type="expression" priority="3" aboveAverage="0" equalAverage="0" bottom="0" percent="0" rank="0" text="" dxfId="10">
      <formula>AND($G5&lt;&gt;"",$G5&lt;0)</formula>
    </cfRule>
  </conditionalFormatting>
  <conditionalFormatting sqref="I5:I504">
    <cfRule type="expression" priority="4" aboveAverage="0" equalAverage="0" bottom="0" percent="0" rank="0" text="" dxfId="9">
      <formula>AND($I5&lt;&gt;"",$I5&gt;0)</formula>
    </cfRule>
    <cfRule type="expression" priority="5" aboveAverage="0" equalAverage="0" bottom="0" percent="0" rank="0" text="" dxfId="10">
      <formula>AND($I5&lt;&gt;"",$I5&lt;0)</formula>
    </cfRule>
  </conditionalFormatting>
  <dataValidations count="6">
    <dataValidation allowBlank="true" errorStyle="stop" operator="between" prompt="Elige de la lista o escríbelo. Si no está, añádelo en la hoja Listas con su valor de punto." promptTitle="Instrumento" showDropDown="false" showErrorMessage="false" showInputMessage="true" sqref="C5:C504" type="list">
      <formula1>Listas!$B$6:$B$20</formula1>
      <formula2>0</formula2>
    </dataValidation>
    <dataValidation allowBlank="true" errorStyle="stop" operator="between" prompt="Opcional pero potente: el Panel compara tu resultado dentro y fuera del plan." promptTitle="¿Seguiste tu plan?" showDropDown="false" showErrorMessage="false" showInputMessage="true" sqref="N5:N504" type="list">
      <formula1>Listas!$F$6:$F$7</formula1>
      <formula2>0</formula2>
    </dataValidation>
    <dataValidation allowBlank="true" errorStyle="stop" operator="between" showDropDown="false" showErrorMessage="false" showInputMessage="false" sqref="M5:M504" type="list">
      <formula1>Listas!$H$6:$H$14</formula1>
      <formula2>0</formula2>
    </dataValidation>
    <dataValidation allowBlank="true" error="Esto tiene que ser un número.&#10;&#10;Si tu teclado pone coma, escribe punto:&#10;51.75  ✔      51,75  ✘" errorStyle="stop" errorTitle="Usa punto decimal" operator="between" prompt="Número con punto decimal. Ej: 51.75" promptTitle="Puntos" showDropDown="false" showErrorMessage="true" showInputMessage="true" sqref="E5:F504" type="decimal">
      <formula1>-100000</formula1>
      <formula2>100000</formula2>
    </dataValidation>
    <dataValidation allowBlank="true" error="Escribe un número entero de contratos. Ej: 1, 2, 3" errorStyle="stop" errorTitle="Contratos" operator="between" showDropDown="false" showErrorMessage="true" showInputMessage="false" sqref="D5:D504" type="whole">
      <formula1>1</formula1>
      <formula2>500</formula2>
    </dataValidation>
    <dataValidation allowBlank="true" error="Escribe únicamente el número de la hora.&#10;&#10;9:35  →  escribe  9&#10;14:05 →  escribe  14&#10;&#10;Sin minutos, sin dos puntos." errorStyle="stop" errorTitle="Solo la hora, de 0 a 23" operator="between" prompt="Solo el número de la hora: 9, 10, 14…" promptTitle="Hora" showDropDown="false" showErrorMessage="true" showInputMessage="true" sqref="L5:L504" type="whole">
      <formula1>0</formula1>
      <formula2>23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E5FF"/>
    <pageSetUpPr fitToPage="false"/>
  </sheetPr>
  <dimension ref="A1:AJ13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18"/>
    <col collapsed="false" customWidth="true" hidden="false" outlineLevel="0" max="3" min="3" style="1" width="8"/>
    <col collapsed="false" customWidth="true" hidden="false" outlineLevel="0" max="4" min="4" style="1" width="14"/>
    <col collapsed="false" customWidth="true" hidden="false" outlineLevel="0" max="5" min="5" style="1" width="13"/>
    <col collapsed="false" customWidth="true" hidden="false" outlineLevel="0" max="6" min="6" style="1" width="18"/>
    <col collapsed="false" customWidth="true" hidden="false" outlineLevel="0" max="7" min="7" style="1" width="8"/>
    <col collapsed="false" customWidth="true" hidden="false" outlineLevel="0" max="8" min="8" style="1" width="14"/>
    <col collapsed="false" customWidth="true" hidden="false" outlineLevel="0" max="9" min="9" style="1" width="13"/>
    <col collapsed="false" customWidth="true" hidden="false" outlineLevel="0" max="10" min="10" style="1" width="18"/>
    <col collapsed="false" customWidth="true" hidden="false" outlineLevel="0" max="11" min="11" style="1" width="8"/>
    <col collapsed="false" customWidth="true" hidden="false" outlineLevel="0" max="12" min="12" style="1" width="14"/>
    <col collapsed="false" customWidth="true" hidden="false" outlineLevel="0" max="13" min="13" style="1" width="13"/>
    <col collapsed="false" customWidth="true" hidden="false" outlineLevel="0" max="14" min="14" style="1" width="18"/>
    <col collapsed="false" customWidth="true" hidden="false" outlineLevel="0" max="15" min="15" style="1" width="8"/>
    <col collapsed="false" customWidth="true" hidden="false" outlineLevel="0" max="16" min="16" style="1" width="14"/>
    <col collapsed="false" customWidth="true" hidden="false" outlineLevel="0" max="18" min="17" style="1" width="13"/>
    <col collapsed="false" customWidth="true" hidden="false" outlineLevel="0" max="29" min="28" style="1" width="11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customFormat="false" ht="31.5" hidden="false" customHeight="true" outlineLevel="0" collapsed="false">
      <c r="A2" s="2"/>
      <c r="B2" s="4" t="s">
        <v>0</v>
      </c>
      <c r="C2" s="5" t="s">
        <v>78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customFormat="false" ht="15" hidden="false" customHeight="true" outlineLevel="0" collapsed="false">
      <c r="A3" s="2"/>
      <c r="B3" s="2"/>
      <c r="C3" s="6" t="s">
        <v>79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/>
      <c r="T3" s="3"/>
      <c r="U3" s="3"/>
      <c r="V3" s="3"/>
      <c r="W3" s="3"/>
      <c r="X3" s="3"/>
      <c r="Y3" s="3"/>
      <c r="Z3" s="3"/>
      <c r="AA3" s="3"/>
      <c r="AB3" s="30" t="s">
        <v>80</v>
      </c>
      <c r="AC3" s="3"/>
      <c r="AD3" s="3"/>
      <c r="AE3" s="3"/>
      <c r="AF3" s="3"/>
      <c r="AG3" s="3"/>
      <c r="AH3" s="3"/>
      <c r="AI3" s="3"/>
      <c r="AJ3" s="3"/>
    </row>
    <row r="4" customFormat="false" ht="15" hidden="false" customHeight="tru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3"/>
      <c r="T4" s="3"/>
      <c r="U4" s="3"/>
      <c r="V4" s="3"/>
      <c r="W4" s="3"/>
      <c r="X4" s="3"/>
      <c r="Y4" s="3"/>
      <c r="Z4" s="3"/>
      <c r="AA4" s="3"/>
      <c r="AB4" s="30" t="s">
        <v>81</v>
      </c>
      <c r="AC4" s="30" t="s">
        <v>82</v>
      </c>
      <c r="AD4" s="3"/>
      <c r="AE4" s="3"/>
      <c r="AF4" s="3"/>
      <c r="AG4" s="3"/>
      <c r="AH4" s="3"/>
      <c r="AI4" s="3"/>
      <c r="AJ4" s="3"/>
    </row>
    <row r="5" customFormat="false" ht="15" hidden="false" customHeight="tru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3"/>
      <c r="T5" s="3"/>
      <c r="U5" s="3"/>
      <c r="V5" s="3"/>
      <c r="W5" s="3"/>
      <c r="X5" s="3"/>
      <c r="Y5" s="3"/>
      <c r="Z5" s="3"/>
      <c r="AA5" s="3"/>
      <c r="AB5" s="56" t="n">
        <f aca="true">TODAY()-59</f>
        <v>46230</v>
      </c>
      <c r="AC5" s="57" t="n">
        <f aca="false">'Empieza aquí'!$D$8+SUMIFS(Operaciones!$G$5:$G$504,Operaciones!$B$5:$B$504,"&lt;="&amp;$AB5)</f>
        <v>50000</v>
      </c>
      <c r="AD5" s="3"/>
      <c r="AE5" s="3"/>
      <c r="AF5" s="3"/>
      <c r="AG5" s="3"/>
      <c r="AH5" s="3"/>
      <c r="AI5" s="3"/>
      <c r="AJ5" s="3"/>
    </row>
    <row r="6" customFormat="false" ht="15" hidden="false" customHeight="true" outlineLevel="0" collapsed="false">
      <c r="A6" s="2"/>
      <c r="B6" s="58" t="s">
        <v>83</v>
      </c>
      <c r="C6" s="58"/>
      <c r="D6" s="58"/>
      <c r="E6" s="58" t="s">
        <v>84</v>
      </c>
      <c r="F6" s="58"/>
      <c r="G6" s="58"/>
      <c r="H6" s="58" t="s">
        <v>85</v>
      </c>
      <c r="I6" s="58"/>
      <c r="J6" s="58"/>
      <c r="K6" s="58" t="s">
        <v>86</v>
      </c>
      <c r="L6" s="58"/>
      <c r="M6" s="58"/>
      <c r="N6" s="58" t="s">
        <v>87</v>
      </c>
      <c r="O6" s="58"/>
      <c r="P6" s="58"/>
      <c r="Q6" s="2"/>
      <c r="R6" s="2"/>
      <c r="S6" s="3"/>
      <c r="T6" s="3"/>
      <c r="U6" s="3"/>
      <c r="V6" s="3"/>
      <c r="W6" s="3"/>
      <c r="X6" s="3"/>
      <c r="Y6" s="3"/>
      <c r="Z6" s="3"/>
      <c r="AA6" s="3"/>
      <c r="AB6" s="56" t="n">
        <f aca="true">TODAY()-58</f>
        <v>46231</v>
      </c>
      <c r="AC6" s="57" t="n">
        <f aca="false">'Empieza aquí'!$D$8+SUMIFS(Operaciones!$G$5:$G$504,Operaciones!$B$5:$B$504,"&lt;="&amp;$AB6)</f>
        <v>50000</v>
      </c>
      <c r="AD6" s="3"/>
      <c r="AE6" s="3"/>
      <c r="AF6" s="3"/>
      <c r="AG6" s="3"/>
      <c r="AH6" s="3"/>
      <c r="AI6" s="3"/>
      <c r="AJ6" s="3"/>
    </row>
    <row r="7" customFormat="false" ht="30" hidden="false" customHeight="true" outlineLevel="0" collapsed="false">
      <c r="A7" s="2"/>
      <c r="B7" s="59" t="n">
        <f aca="false">SUM(Operaciones!$G$5:$G$504)</f>
        <v>0</v>
      </c>
      <c r="C7" s="59"/>
      <c r="D7" s="59"/>
      <c r="E7" s="60" t="n">
        <f aca="false">'Empieza aquí'!$D$8+SUM(Operaciones!$G$5:$G$504)</f>
        <v>50000</v>
      </c>
      <c r="F7" s="60"/>
      <c r="G7" s="60"/>
      <c r="H7" s="61" t="n">
        <f aca="false">IFERROR(SUM(Operaciones!$G$5:$G$504)/'Empieza aquí'!$D$8,"")</f>
        <v>0</v>
      </c>
      <c r="I7" s="61"/>
      <c r="J7" s="61"/>
      <c r="K7" s="62" t="n">
        <f aca="false">COUNT(Operaciones!$G$5:$G$504)</f>
        <v>0</v>
      </c>
      <c r="L7" s="62"/>
      <c r="M7" s="62"/>
      <c r="N7" s="63" t="str">
        <f aca="false">IFERROR(COUNTIF(Operaciones!$G$5:$G$504,"&gt;0")/(COUNTIF(Operaciones!$G$5:$G$504,"&gt;0")+COUNTIF(Operaciones!$G$5:$G$504,"&lt;0")),"")</f>
        <v/>
      </c>
      <c r="O7" s="63"/>
      <c r="P7" s="63"/>
      <c r="Q7" s="2"/>
      <c r="R7" s="2"/>
      <c r="S7" s="3"/>
      <c r="T7" s="3"/>
      <c r="U7" s="3"/>
      <c r="V7" s="3"/>
      <c r="W7" s="3"/>
      <c r="X7" s="3"/>
      <c r="Y7" s="3"/>
      <c r="Z7" s="3"/>
      <c r="AA7" s="3"/>
      <c r="AB7" s="56" t="n">
        <f aca="true">TODAY()-57</f>
        <v>46232</v>
      </c>
      <c r="AC7" s="57" t="n">
        <f aca="false">'Empieza aquí'!$D$8+SUMIFS(Operaciones!$G$5:$G$504,Operaciones!$B$5:$B$504,"&lt;="&amp;$AB7)</f>
        <v>50000</v>
      </c>
      <c r="AD7" s="3"/>
      <c r="AE7" s="3"/>
      <c r="AF7" s="3"/>
      <c r="AG7" s="3"/>
      <c r="AH7" s="3"/>
      <c r="AI7" s="3"/>
      <c r="AJ7" s="3"/>
    </row>
    <row r="8" customFormat="false" ht="15" hidden="false" customHeight="tru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3"/>
      <c r="T8" s="3"/>
      <c r="U8" s="3"/>
      <c r="V8" s="3"/>
      <c r="W8" s="3"/>
      <c r="X8" s="3"/>
      <c r="Y8" s="3"/>
      <c r="Z8" s="3"/>
      <c r="AA8" s="3"/>
      <c r="AB8" s="56" t="n">
        <f aca="true">TODAY()-56</f>
        <v>46233</v>
      </c>
      <c r="AC8" s="57" t="n">
        <f aca="false">'Empieza aquí'!$D$8+SUMIFS(Operaciones!$G$5:$G$504,Operaciones!$B$5:$B$504,"&lt;="&amp;$AB8)</f>
        <v>50000</v>
      </c>
      <c r="AD8" s="3"/>
      <c r="AE8" s="3"/>
      <c r="AF8" s="3"/>
      <c r="AG8" s="3"/>
      <c r="AH8" s="3"/>
      <c r="AI8" s="3"/>
      <c r="AJ8" s="3"/>
    </row>
    <row r="9" customFormat="false" ht="1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3"/>
      <c r="T9" s="3"/>
      <c r="U9" s="3"/>
      <c r="V9" s="3"/>
      <c r="W9" s="3"/>
      <c r="X9" s="3"/>
      <c r="Y9" s="3"/>
      <c r="Z9" s="3"/>
      <c r="AA9" s="3"/>
      <c r="AB9" s="56" t="n">
        <f aca="true">TODAY()-55</f>
        <v>46234</v>
      </c>
      <c r="AC9" s="57" t="n">
        <f aca="false">'Empieza aquí'!$D$8+SUMIFS(Operaciones!$G$5:$G$504,Operaciones!$B$5:$B$504,"&lt;="&amp;$AB9)</f>
        <v>50000</v>
      </c>
      <c r="AD9" s="3"/>
      <c r="AE9" s="3"/>
      <c r="AF9" s="3"/>
      <c r="AG9" s="3"/>
      <c r="AH9" s="3"/>
      <c r="AI9" s="3"/>
      <c r="AJ9" s="3"/>
    </row>
    <row r="10" customFormat="false" ht="15" hidden="false" customHeight="true" outlineLevel="0" collapsed="false">
      <c r="A10" s="2"/>
      <c r="B10" s="7" t="s">
        <v>88</v>
      </c>
      <c r="C10" s="2"/>
      <c r="D10" s="2"/>
      <c r="E10" s="2"/>
      <c r="F10" s="2"/>
      <c r="G10" s="2"/>
      <c r="H10" s="7" t="s">
        <v>89</v>
      </c>
      <c r="I10" s="2"/>
      <c r="J10" s="2"/>
      <c r="K10" s="2"/>
      <c r="L10" s="2"/>
      <c r="M10" s="2"/>
      <c r="N10" s="7" t="s">
        <v>90</v>
      </c>
      <c r="O10" s="2"/>
      <c r="P10" s="2"/>
      <c r="Q10" s="2"/>
      <c r="R10" s="2"/>
      <c r="S10" s="3"/>
      <c r="T10" s="3"/>
      <c r="U10" s="3"/>
      <c r="V10" s="3"/>
      <c r="W10" s="3"/>
      <c r="X10" s="3"/>
      <c r="Y10" s="3"/>
      <c r="Z10" s="3"/>
      <c r="AA10" s="3"/>
      <c r="AB10" s="56" t="n">
        <f aca="true">TODAY()-54</f>
        <v>46235</v>
      </c>
      <c r="AC10" s="57" t="n">
        <f aca="false">'Empieza aquí'!$D$8+SUMIFS(Operaciones!$G$5:$G$504,Operaciones!$B$5:$B$504,"&lt;="&amp;$AB10)</f>
        <v>50000</v>
      </c>
      <c r="AD10" s="3"/>
      <c r="AE10" s="3"/>
      <c r="AF10" s="3"/>
      <c r="AG10" s="3"/>
      <c r="AH10" s="3"/>
      <c r="AI10" s="3"/>
      <c r="AJ10" s="3"/>
    </row>
    <row r="11" customFormat="false" ht="15" hidden="false" customHeight="true" outlineLevel="0" collapsed="false">
      <c r="A11" s="2"/>
      <c r="B11" s="64" t="s">
        <v>91</v>
      </c>
      <c r="C11" s="64"/>
      <c r="D11" s="64"/>
      <c r="E11" s="64"/>
      <c r="F11" s="65" t="n">
        <f aca="false">COUNTIF(Operaciones!$G$5:$G$504,"&gt;0")</f>
        <v>0</v>
      </c>
      <c r="G11" s="2"/>
      <c r="H11" s="64" t="s">
        <v>92</v>
      </c>
      <c r="I11" s="64"/>
      <c r="J11" s="64"/>
      <c r="K11" s="64"/>
      <c r="L11" s="65" t="n">
        <f aca="false">IFERROR(SUMPRODUCT((Operaciones!$B$5:$B$504&lt;&gt;"")/COUNTIF(Operaciones!$B$5:$B$504,Operaciones!$B$5:$B$504&amp;"")),0)</f>
        <v>0</v>
      </c>
      <c r="M11" s="2"/>
      <c r="N11" s="64" t="s">
        <v>93</v>
      </c>
      <c r="O11" s="64"/>
      <c r="P11" s="64"/>
      <c r="Q11" s="64"/>
      <c r="R11" s="66" t="str">
        <f aca="false">IFERROR(COUNTIF(Operaciones!$N$5:$N$504,"Sí")/(COUNTIF(Operaciones!$N$5:$N$504,"Sí")+COUNTIF(Operaciones!$N$5:$N$504,"No")),"")</f>
        <v/>
      </c>
      <c r="S11" s="3"/>
      <c r="T11" s="3"/>
      <c r="U11" s="3"/>
      <c r="V11" s="3"/>
      <c r="W11" s="3"/>
      <c r="X11" s="3"/>
      <c r="Y11" s="3"/>
      <c r="Z11" s="3"/>
      <c r="AA11" s="3"/>
      <c r="AB11" s="56" t="n">
        <f aca="true">TODAY()-53</f>
        <v>46236</v>
      </c>
      <c r="AC11" s="57" t="n">
        <f aca="false">'Empieza aquí'!$D$8+SUMIFS(Operaciones!$G$5:$G$504,Operaciones!$B$5:$B$504,"&lt;="&amp;$AB11)</f>
        <v>50000</v>
      </c>
      <c r="AD11" s="3"/>
      <c r="AE11" s="3"/>
      <c r="AF11" s="3"/>
      <c r="AG11" s="3"/>
      <c r="AH11" s="3"/>
      <c r="AI11" s="3"/>
      <c r="AJ11" s="3"/>
    </row>
    <row r="12" customFormat="false" ht="15" hidden="false" customHeight="true" outlineLevel="0" collapsed="false">
      <c r="A12" s="2"/>
      <c r="B12" s="64" t="s">
        <v>94</v>
      </c>
      <c r="C12" s="64"/>
      <c r="D12" s="64"/>
      <c r="E12" s="64"/>
      <c r="F12" s="65" t="n">
        <f aca="false">COUNTIF(Operaciones!$G$5:$G$504,"&lt;0")</f>
        <v>0</v>
      </c>
      <c r="G12" s="2"/>
      <c r="H12" s="64" t="s">
        <v>95</v>
      </c>
      <c r="I12" s="64"/>
      <c r="J12" s="64"/>
      <c r="K12" s="64"/>
      <c r="L12" s="67" t="str">
        <f aca="false">IFERROR(COUNT(Operaciones!$G$5:$G$504)/IFERROR(SUMPRODUCT((Operaciones!$B$5:$B$504&lt;&gt;"")/COUNTIF(Operaciones!$B$5:$B$504,Operaciones!$B$5:$B$504&amp;"")),0),"")</f>
        <v/>
      </c>
      <c r="M12" s="2"/>
      <c r="N12" s="64" t="s">
        <v>96</v>
      </c>
      <c r="O12" s="64"/>
      <c r="P12" s="64"/>
      <c r="Q12" s="64"/>
      <c r="R12" s="68" t="n">
        <f aca="false">SUMIF(Operaciones!$N$5:$N$504,"Sí",Operaciones!$G$5:$G$504)</f>
        <v>0</v>
      </c>
      <c r="S12" s="3"/>
      <c r="T12" s="3"/>
      <c r="U12" s="3"/>
      <c r="V12" s="3"/>
      <c r="W12" s="3"/>
      <c r="X12" s="3"/>
      <c r="Y12" s="3"/>
      <c r="Z12" s="3"/>
      <c r="AA12" s="3"/>
      <c r="AB12" s="56" t="n">
        <f aca="true">TODAY()-52</f>
        <v>46237</v>
      </c>
      <c r="AC12" s="57" t="n">
        <f aca="false">'Empieza aquí'!$D$8+SUMIFS(Operaciones!$G$5:$G$504,Operaciones!$B$5:$B$504,"&lt;="&amp;$AB12)</f>
        <v>50000</v>
      </c>
      <c r="AD12" s="3"/>
      <c r="AE12" s="3"/>
      <c r="AF12" s="3"/>
      <c r="AG12" s="3"/>
      <c r="AH12" s="3"/>
      <c r="AI12" s="3"/>
      <c r="AJ12" s="3"/>
    </row>
    <row r="13" customFormat="false" ht="15" hidden="false" customHeight="true" outlineLevel="0" collapsed="false">
      <c r="A13" s="2"/>
      <c r="B13" s="64" t="s">
        <v>97</v>
      </c>
      <c r="C13" s="64"/>
      <c r="D13" s="64"/>
      <c r="E13" s="64"/>
      <c r="F13" s="68" t="str">
        <f aca="false">IFERROR(SUMIF(Operaciones!$G$5:$G$504,"&gt;0")/COUNTIF(Operaciones!$G$5:$G$504,"&gt;0"),"")</f>
        <v/>
      </c>
      <c r="G13" s="2"/>
      <c r="H13" s="64" t="s">
        <v>98</v>
      </c>
      <c r="I13" s="64"/>
      <c r="J13" s="64"/>
      <c r="K13" s="64"/>
      <c r="L13" s="65" t="n">
        <f aca="false">IFERROR(MAX(Operaciones!$U$5:$U$504),"")</f>
        <v>0</v>
      </c>
      <c r="M13" s="2"/>
      <c r="N13" s="64" t="s">
        <v>99</v>
      </c>
      <c r="O13" s="64"/>
      <c r="P13" s="64"/>
      <c r="Q13" s="64"/>
      <c r="R13" s="68" t="n">
        <f aca="false">SUMIF(Operaciones!$N$5:$N$504,"No",Operaciones!$G$5:$G$504)</f>
        <v>0</v>
      </c>
      <c r="S13" s="3"/>
      <c r="T13" s="3"/>
      <c r="U13" s="3"/>
      <c r="V13" s="3"/>
      <c r="W13" s="3"/>
      <c r="X13" s="3"/>
      <c r="Y13" s="3"/>
      <c r="Z13" s="3"/>
      <c r="AA13" s="3"/>
      <c r="AB13" s="56" t="n">
        <f aca="true">TODAY()-51</f>
        <v>46238</v>
      </c>
      <c r="AC13" s="57" t="n">
        <f aca="false">'Empieza aquí'!$D$8+SUMIFS(Operaciones!$G$5:$G$504,Operaciones!$B$5:$B$504,"&lt;="&amp;$AB13)</f>
        <v>50000</v>
      </c>
      <c r="AD13" s="3"/>
      <c r="AE13" s="3"/>
      <c r="AF13" s="3"/>
      <c r="AG13" s="3"/>
      <c r="AH13" s="3"/>
      <c r="AI13" s="3"/>
      <c r="AJ13" s="3"/>
    </row>
    <row r="14" customFormat="false" ht="15" hidden="false" customHeight="true" outlineLevel="0" collapsed="false">
      <c r="A14" s="2"/>
      <c r="B14" s="64" t="s">
        <v>100</v>
      </c>
      <c r="C14" s="64"/>
      <c r="D14" s="64"/>
      <c r="E14" s="64"/>
      <c r="F14" s="68" t="str">
        <f aca="false">IFERROR(SUMIF(Operaciones!$G$5:$G$504,"&lt;0")/COUNTIF(Operaciones!$G$5:$G$504,"&lt;0"),"")</f>
        <v/>
      </c>
      <c r="G14" s="2"/>
      <c r="H14" s="64" t="s">
        <v>101</v>
      </c>
      <c r="I14" s="64"/>
      <c r="J14" s="64"/>
      <c r="K14" s="64"/>
      <c r="L14" s="68" t="n">
        <f aca="false">IFERROR(MIN(Operaciones!$X$5:$X$504),"")</f>
        <v>0</v>
      </c>
      <c r="M14" s="2"/>
      <c r="N14" s="64" t="s">
        <v>102</v>
      </c>
      <c r="O14" s="64"/>
      <c r="P14" s="64"/>
      <c r="Q14" s="64"/>
      <c r="R14" s="66" t="str">
        <f aca="false">IFERROR(SUMPRODUCT((Operaciones!$N$5:$N$504="Sí")*(Operaciones!$G$5:$G$504&gt;0))/SUMPRODUCT((Operaciones!$N$5:$N$504="Sí")*(Operaciones!$G$5:$G$504&lt;&gt;"")),"")</f>
        <v/>
      </c>
      <c r="S14" s="3"/>
      <c r="T14" s="3"/>
      <c r="U14" s="3"/>
      <c r="V14" s="3"/>
      <c r="W14" s="3"/>
      <c r="X14" s="3"/>
      <c r="Y14" s="3"/>
      <c r="Z14" s="3"/>
      <c r="AA14" s="3"/>
      <c r="AB14" s="56" t="n">
        <f aca="true">TODAY()-50</f>
        <v>46239</v>
      </c>
      <c r="AC14" s="57" t="n">
        <f aca="false">'Empieza aquí'!$D$8+SUMIFS(Operaciones!$G$5:$G$504,Operaciones!$B$5:$B$504,"&lt;="&amp;$AB14)</f>
        <v>50000</v>
      </c>
      <c r="AD14" s="3"/>
      <c r="AE14" s="3"/>
      <c r="AF14" s="3"/>
      <c r="AG14" s="3"/>
      <c r="AH14" s="3"/>
      <c r="AI14" s="3"/>
      <c r="AJ14" s="3"/>
    </row>
    <row r="15" customFormat="false" ht="15" hidden="false" customHeight="true" outlineLevel="0" collapsed="false">
      <c r="A15" s="2"/>
      <c r="B15" s="64" t="s">
        <v>103</v>
      </c>
      <c r="C15" s="64"/>
      <c r="D15" s="64"/>
      <c r="E15" s="64"/>
      <c r="F15" s="69" t="str">
        <f aca="false">IFERROR(SUMIF(Operaciones!$G$5:$G$504,"&gt;0")/ABS(SUMIF(Operaciones!$G$5:$G$504,"&lt;0")),"")</f>
        <v/>
      </c>
      <c r="G15" s="2"/>
      <c r="H15" s="64" t="s">
        <v>104</v>
      </c>
      <c r="I15" s="64"/>
      <c r="J15" s="64"/>
      <c r="K15" s="64"/>
      <c r="L15" s="68" t="str">
        <f aca="false">IFERROR(INDEX(Operaciones!$X$5:$X$504,MATCH(9.99E+307,Operaciones!$V$5:$V$504)),"")</f>
        <v/>
      </c>
      <c r="M15" s="2"/>
      <c r="N15" s="64" t="s">
        <v>105</v>
      </c>
      <c r="O15" s="64"/>
      <c r="P15" s="64"/>
      <c r="Q15" s="64"/>
      <c r="R15" s="66" t="str">
        <f aca="false">IFERROR(SUMPRODUCT((Operaciones!$N$5:$N$504="No")*(Operaciones!$G$5:$G$504&gt;0))/SUMPRODUCT((Operaciones!$N$5:$N$504="No")*(Operaciones!$G$5:$G$504&lt;&gt;"")),"")</f>
        <v/>
      </c>
      <c r="S15" s="3"/>
      <c r="T15" s="3"/>
      <c r="U15" s="3"/>
      <c r="V15" s="3"/>
      <c r="W15" s="3"/>
      <c r="X15" s="3"/>
      <c r="Y15" s="3"/>
      <c r="Z15" s="3"/>
      <c r="AA15" s="3"/>
      <c r="AB15" s="56" t="n">
        <f aca="true">TODAY()-49</f>
        <v>46240</v>
      </c>
      <c r="AC15" s="57" t="n">
        <f aca="false">'Empieza aquí'!$D$8+SUMIFS(Operaciones!$G$5:$G$504,Operaciones!$B$5:$B$504,"&lt;="&amp;$AB15)</f>
        <v>50000</v>
      </c>
      <c r="AD15" s="3"/>
      <c r="AE15" s="3"/>
      <c r="AF15" s="3"/>
      <c r="AG15" s="3"/>
      <c r="AH15" s="3"/>
      <c r="AI15" s="3"/>
      <c r="AJ15" s="3"/>
    </row>
    <row r="16" customFormat="false" ht="15" hidden="false" customHeight="true" outlineLevel="0" collapsed="false">
      <c r="A16" s="2"/>
      <c r="B16" s="64" t="s">
        <v>106</v>
      </c>
      <c r="C16" s="64"/>
      <c r="D16" s="64"/>
      <c r="E16" s="64"/>
      <c r="F16" s="68" t="str">
        <f aca="false">IFERROR(SUM(Operaciones!$G$5:$G$504)/COUNT(Operaciones!$G$5:$G$504),"")</f>
        <v/>
      </c>
      <c r="G16" s="2"/>
      <c r="H16" s="64" t="s">
        <v>107</v>
      </c>
      <c r="I16" s="64"/>
      <c r="J16" s="64"/>
      <c r="K16" s="64"/>
      <c r="L16" s="70" t="n">
        <f aca="false">IFERROR(MAX(Operaciones!$V$5:$V$504),'Empieza aquí'!$D$8)</f>
        <v>0</v>
      </c>
      <c r="M16" s="2"/>
      <c r="N16" s="2"/>
      <c r="O16" s="2"/>
      <c r="P16" s="2"/>
      <c r="Q16" s="2"/>
      <c r="R16" s="2"/>
      <c r="S16" s="3"/>
      <c r="T16" s="3"/>
      <c r="U16" s="3"/>
      <c r="V16" s="3"/>
      <c r="W16" s="3"/>
      <c r="X16" s="3"/>
      <c r="Y16" s="3"/>
      <c r="Z16" s="3"/>
      <c r="AA16" s="3"/>
      <c r="AB16" s="56" t="n">
        <f aca="true">TODAY()-48</f>
        <v>46241</v>
      </c>
      <c r="AC16" s="57" t="n">
        <f aca="false">'Empieza aquí'!$D$8+SUMIFS(Operaciones!$G$5:$G$504,Operaciones!$B$5:$B$504,"&lt;="&amp;$AB16)</f>
        <v>50000</v>
      </c>
      <c r="AD16" s="3"/>
      <c r="AE16" s="3"/>
      <c r="AF16" s="3"/>
      <c r="AG16" s="3"/>
      <c r="AH16" s="3"/>
      <c r="AI16" s="3"/>
      <c r="AJ16" s="3"/>
    </row>
    <row r="17" customFormat="false" ht="15" hidden="false" customHeight="true" outlineLevel="0" collapsed="false">
      <c r="A17" s="2"/>
      <c r="B17" s="64" t="s">
        <v>108</v>
      </c>
      <c r="C17" s="64"/>
      <c r="D17" s="64"/>
      <c r="E17" s="64"/>
      <c r="F17" s="71" t="str">
        <f aca="false">IFERROR(AVERAGE(Operaciones!$I$5:$I$504),"")</f>
        <v/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3"/>
      <c r="T17" s="3"/>
      <c r="U17" s="3"/>
      <c r="V17" s="3"/>
      <c r="W17" s="3"/>
      <c r="X17" s="3"/>
      <c r="Y17" s="3"/>
      <c r="Z17" s="3"/>
      <c r="AA17" s="3"/>
      <c r="AB17" s="56" t="n">
        <f aca="true">TODAY()-47</f>
        <v>46242</v>
      </c>
      <c r="AC17" s="57" t="n">
        <f aca="false">'Empieza aquí'!$D$8+SUMIFS(Operaciones!$G$5:$G$504,Operaciones!$B$5:$B$504,"&lt;="&amp;$AB17)</f>
        <v>50000</v>
      </c>
      <c r="AD17" s="3"/>
      <c r="AE17" s="3"/>
      <c r="AF17" s="3"/>
      <c r="AG17" s="3"/>
      <c r="AH17" s="3"/>
      <c r="AI17" s="3"/>
      <c r="AJ17" s="3"/>
    </row>
    <row r="18" customFormat="false" ht="15" hidden="false" customHeight="true" outlineLevel="0" collapsed="false">
      <c r="A18" s="2"/>
      <c r="B18" s="64" t="s">
        <v>109</v>
      </c>
      <c r="C18" s="64"/>
      <c r="D18" s="64"/>
      <c r="E18" s="64"/>
      <c r="F18" s="68" t="n">
        <f aca="false">IFERROR(MAX(Operaciones!$G$5:$G$504),"")</f>
        <v>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3"/>
      <c r="T18" s="3"/>
      <c r="U18" s="3"/>
      <c r="V18" s="3"/>
      <c r="W18" s="3"/>
      <c r="X18" s="3"/>
      <c r="Y18" s="3"/>
      <c r="Z18" s="3"/>
      <c r="AA18" s="3"/>
      <c r="AB18" s="56" t="n">
        <f aca="true">TODAY()-46</f>
        <v>46243</v>
      </c>
      <c r="AC18" s="57" t="n">
        <f aca="false">'Empieza aquí'!$D$8+SUMIFS(Operaciones!$G$5:$G$504,Operaciones!$B$5:$B$504,"&lt;="&amp;$AB18)</f>
        <v>50000</v>
      </c>
      <c r="AD18" s="3"/>
      <c r="AE18" s="3"/>
      <c r="AF18" s="3"/>
      <c r="AG18" s="3"/>
      <c r="AH18" s="3"/>
      <c r="AI18" s="3"/>
      <c r="AJ18" s="3"/>
    </row>
    <row r="19" customFormat="false" ht="15" hidden="false" customHeight="true" outlineLevel="0" collapsed="false">
      <c r="A19" s="2"/>
      <c r="B19" s="64" t="s">
        <v>110</v>
      </c>
      <c r="C19" s="64"/>
      <c r="D19" s="64"/>
      <c r="E19" s="64"/>
      <c r="F19" s="68" t="n">
        <f aca="false">IFERROR(MIN(Operaciones!$G$5:$G$504),"")</f>
        <v>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3"/>
      <c r="T19" s="3"/>
      <c r="U19" s="3"/>
      <c r="V19" s="3"/>
      <c r="W19" s="3"/>
      <c r="X19" s="3"/>
      <c r="Y19" s="3"/>
      <c r="Z19" s="3"/>
      <c r="AA19" s="3"/>
      <c r="AB19" s="56" t="n">
        <f aca="true">TODAY()-45</f>
        <v>46244</v>
      </c>
      <c r="AC19" s="57" t="n">
        <f aca="false">'Empieza aquí'!$D$8+SUMIFS(Operaciones!$G$5:$G$504,Operaciones!$B$5:$B$504,"&lt;="&amp;$AB19)</f>
        <v>50000</v>
      </c>
      <c r="AD19" s="3"/>
      <c r="AE19" s="3"/>
      <c r="AF19" s="3"/>
      <c r="AG19" s="3"/>
      <c r="AH19" s="3"/>
      <c r="AI19" s="3"/>
      <c r="AJ19" s="3"/>
    </row>
    <row r="20" customFormat="false" ht="15" hidden="false" customHeight="true" outlineLevel="0" collapsed="false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3"/>
      <c r="T20" s="3"/>
      <c r="U20" s="3"/>
      <c r="V20" s="3"/>
      <c r="W20" s="3"/>
      <c r="X20" s="3"/>
      <c r="Y20" s="3"/>
      <c r="Z20" s="3"/>
      <c r="AA20" s="3"/>
      <c r="AB20" s="56" t="n">
        <f aca="true">TODAY()-44</f>
        <v>46245</v>
      </c>
      <c r="AC20" s="57" t="n">
        <f aca="false">'Empieza aquí'!$D$8+SUMIFS(Operaciones!$G$5:$G$504,Operaciones!$B$5:$B$504,"&lt;="&amp;$AB20)</f>
        <v>50000</v>
      </c>
      <c r="AD20" s="3"/>
      <c r="AE20" s="3"/>
      <c r="AF20" s="3"/>
      <c r="AG20" s="3"/>
      <c r="AH20" s="3"/>
      <c r="AI20" s="3"/>
      <c r="AJ20" s="3"/>
    </row>
    <row r="21" customFormat="false" ht="15" hidden="false" customHeight="true" outlineLevel="0" collapsed="fals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8" t="s">
        <v>111</v>
      </c>
      <c r="O21" s="2"/>
      <c r="P21" s="2"/>
      <c r="Q21" s="2"/>
      <c r="R21" s="2"/>
      <c r="S21" s="3"/>
      <c r="T21" s="3"/>
      <c r="U21" s="3"/>
      <c r="V21" s="3"/>
      <c r="W21" s="3"/>
      <c r="X21" s="3"/>
      <c r="Y21" s="3"/>
      <c r="Z21" s="3"/>
      <c r="AA21" s="3"/>
      <c r="AB21" s="56" t="n">
        <f aca="true">TODAY()-43</f>
        <v>46246</v>
      </c>
      <c r="AC21" s="57" t="n">
        <f aca="false">'Empieza aquí'!$D$8+SUMIFS(Operaciones!$G$5:$G$504,Operaciones!$B$5:$B$504,"&lt;="&amp;$AB21)</f>
        <v>50000</v>
      </c>
      <c r="AD21" s="3"/>
      <c r="AE21" s="3"/>
      <c r="AF21" s="3"/>
      <c r="AG21" s="3"/>
      <c r="AH21" s="3"/>
      <c r="AI21" s="3"/>
      <c r="AJ21" s="3"/>
    </row>
    <row r="22" customFormat="false" ht="15" hidden="false" customHeight="true" outlineLevel="0" collapsed="fals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8" t="s">
        <v>112</v>
      </c>
      <c r="O22" s="2"/>
      <c r="P22" s="2"/>
      <c r="Q22" s="2"/>
      <c r="R22" s="2"/>
      <c r="S22" s="3"/>
      <c r="T22" s="3"/>
      <c r="U22" s="3"/>
      <c r="V22" s="3"/>
      <c r="W22" s="3"/>
      <c r="X22" s="3"/>
      <c r="Y22" s="3"/>
      <c r="Z22" s="3"/>
      <c r="AA22" s="3"/>
      <c r="AB22" s="56" t="n">
        <f aca="true">TODAY()-42</f>
        <v>46247</v>
      </c>
      <c r="AC22" s="57" t="n">
        <f aca="false">'Empieza aquí'!$D$8+SUMIFS(Operaciones!$G$5:$G$504,Operaciones!$B$5:$B$504,"&lt;="&amp;$AB22)</f>
        <v>50000</v>
      </c>
      <c r="AD22" s="3"/>
      <c r="AE22" s="3"/>
      <c r="AF22" s="3"/>
      <c r="AG22" s="3"/>
      <c r="AH22" s="3"/>
      <c r="AI22" s="3"/>
      <c r="AJ22" s="3"/>
    </row>
    <row r="23" customFormat="false" ht="15" hidden="false" customHeight="true" outlineLevel="0" collapsed="fals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3"/>
      <c r="T23" s="3"/>
      <c r="U23" s="3"/>
      <c r="V23" s="3"/>
      <c r="W23" s="3"/>
      <c r="X23" s="3"/>
      <c r="Y23" s="3"/>
      <c r="Z23" s="3"/>
      <c r="AA23" s="3"/>
      <c r="AB23" s="56" t="n">
        <f aca="true">TODAY()-41</f>
        <v>46248</v>
      </c>
      <c r="AC23" s="57" t="n">
        <f aca="false">'Empieza aquí'!$D$8+SUMIFS(Operaciones!$G$5:$G$504,Operaciones!$B$5:$B$504,"&lt;="&amp;$AB23)</f>
        <v>50000</v>
      </c>
      <c r="AD23" s="3"/>
      <c r="AE23" s="3"/>
      <c r="AF23" s="3"/>
      <c r="AG23" s="3"/>
      <c r="AH23" s="3"/>
      <c r="AI23" s="3"/>
      <c r="AJ23" s="3"/>
    </row>
    <row r="24" customFormat="false" ht="15" hidden="false" customHeight="true" outlineLevel="0" collapsed="false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3"/>
      <c r="T24" s="3"/>
      <c r="U24" s="3"/>
      <c r="V24" s="3"/>
      <c r="W24" s="3"/>
      <c r="X24" s="3"/>
      <c r="Y24" s="3"/>
      <c r="Z24" s="3"/>
      <c r="AA24" s="3"/>
      <c r="AB24" s="56" t="n">
        <f aca="true">TODAY()-40</f>
        <v>46249</v>
      </c>
      <c r="AC24" s="57" t="n">
        <f aca="false">'Empieza aquí'!$D$8+SUMIFS(Operaciones!$G$5:$G$504,Operaciones!$B$5:$B$504,"&lt;="&amp;$AB24)</f>
        <v>50000</v>
      </c>
      <c r="AD24" s="3"/>
      <c r="AE24" s="3"/>
      <c r="AF24" s="3"/>
      <c r="AG24" s="3"/>
      <c r="AH24" s="3"/>
      <c r="AI24" s="3"/>
      <c r="AJ24" s="3"/>
    </row>
    <row r="25" customFormat="false" ht="15" hidden="false" customHeight="true" outlineLevel="0" collapsed="false">
      <c r="A25" s="2"/>
      <c r="B25" s="7" t="s">
        <v>113</v>
      </c>
      <c r="C25" s="2"/>
      <c r="D25" s="2"/>
      <c r="E25" s="2"/>
      <c r="F25" s="7" t="s">
        <v>114</v>
      </c>
      <c r="G25" s="2"/>
      <c r="H25" s="2"/>
      <c r="I25" s="2"/>
      <c r="J25" s="7" t="s">
        <v>115</v>
      </c>
      <c r="K25" s="2"/>
      <c r="L25" s="2"/>
      <c r="M25" s="2"/>
      <c r="N25" s="7" t="s">
        <v>116</v>
      </c>
      <c r="O25" s="2"/>
      <c r="P25" s="2"/>
      <c r="Q25" s="2"/>
      <c r="R25" s="2"/>
      <c r="S25" s="3"/>
      <c r="T25" s="3"/>
      <c r="U25" s="3"/>
      <c r="V25" s="3"/>
      <c r="W25" s="3"/>
      <c r="X25" s="3"/>
      <c r="Y25" s="3"/>
      <c r="Z25" s="3"/>
      <c r="AA25" s="3"/>
      <c r="AB25" s="56" t="n">
        <f aca="true">TODAY()-39</f>
        <v>46250</v>
      </c>
      <c r="AC25" s="57" t="n">
        <f aca="false">'Empieza aquí'!$D$8+SUMIFS(Operaciones!$G$5:$G$504,Operaciones!$B$5:$B$504,"&lt;="&amp;$AB25)</f>
        <v>50000</v>
      </c>
      <c r="AD25" s="3"/>
      <c r="AE25" s="3"/>
      <c r="AF25" s="3"/>
      <c r="AG25" s="3"/>
      <c r="AH25" s="3"/>
      <c r="AI25" s="3"/>
      <c r="AJ25" s="3"/>
    </row>
    <row r="26" customFormat="false" ht="15" hidden="false" customHeight="true" outlineLevel="0" collapsed="false">
      <c r="A26" s="2"/>
      <c r="B26" s="35" t="s">
        <v>117</v>
      </c>
      <c r="C26" s="35" t="s">
        <v>118</v>
      </c>
      <c r="D26" s="35" t="s">
        <v>119</v>
      </c>
      <c r="E26" s="2"/>
      <c r="F26" s="35" t="s">
        <v>117</v>
      </c>
      <c r="G26" s="35" t="s">
        <v>118</v>
      </c>
      <c r="H26" s="35" t="s">
        <v>119</v>
      </c>
      <c r="I26" s="2"/>
      <c r="J26" s="35" t="s">
        <v>117</v>
      </c>
      <c r="K26" s="35" t="s">
        <v>118</v>
      </c>
      <c r="L26" s="35" t="s">
        <v>119</v>
      </c>
      <c r="M26" s="2"/>
      <c r="N26" s="35" t="s">
        <v>117</v>
      </c>
      <c r="O26" s="35" t="s">
        <v>118</v>
      </c>
      <c r="P26" s="35" t="s">
        <v>119</v>
      </c>
      <c r="Q26" s="2"/>
      <c r="R26" s="2"/>
      <c r="S26" s="3"/>
      <c r="T26" s="3"/>
      <c r="U26" s="3"/>
      <c r="V26" s="3"/>
      <c r="W26" s="3"/>
      <c r="X26" s="3"/>
      <c r="Y26" s="3"/>
      <c r="Z26" s="3"/>
      <c r="AA26" s="3"/>
      <c r="AB26" s="56" t="n">
        <f aca="true">TODAY()-38</f>
        <v>46251</v>
      </c>
      <c r="AC26" s="57" t="n">
        <f aca="false">'Empieza aquí'!$D$8+SUMIFS(Operaciones!$G$5:$G$504,Operaciones!$B$5:$B$504,"&lt;="&amp;$AB26)</f>
        <v>50000</v>
      </c>
      <c r="AD26" s="3"/>
      <c r="AE26" s="3"/>
      <c r="AF26" s="3"/>
      <c r="AG26" s="3"/>
      <c r="AH26" s="3"/>
      <c r="AI26" s="3"/>
      <c r="AJ26" s="3"/>
    </row>
    <row r="27" customFormat="false" ht="15" hidden="false" customHeight="true" outlineLevel="0" collapsed="false">
      <c r="A27" s="2"/>
      <c r="B27" s="72" t="s">
        <v>120</v>
      </c>
      <c r="C27" s="73" t="n">
        <f aca="false">SUMPRODUCT((Operaciones!$J$5:$J$504=$B27)*(Operaciones!$G$5:$G$504&lt;&gt;""))</f>
        <v>0</v>
      </c>
      <c r="D27" s="40" t="n">
        <f aca="false">SUMIF(Operaciones!$J$5:$J$504,$B27,Operaciones!$G$5:$G$504)</f>
        <v>0</v>
      </c>
      <c r="E27" s="2"/>
      <c r="F27" s="72" t="s">
        <v>121</v>
      </c>
      <c r="G27" s="73" t="n">
        <f aca="false">SUMPRODUCT((Operaciones!$K$5:$K$504=$F27)*(Operaciones!$G$5:$G$504&lt;&gt;""))</f>
        <v>0</v>
      </c>
      <c r="H27" s="40" t="n">
        <f aca="false">SUMIF(Operaciones!$K$5:$K$504,$F27,Operaciones!$G$5:$G$504)</f>
        <v>0</v>
      </c>
      <c r="I27" s="2"/>
      <c r="J27" s="72" t="s">
        <v>122</v>
      </c>
      <c r="K27" s="73" t="n">
        <f aca="false">SUMPRODUCT((Operaciones!$C$5:$C$504=$J27)*(Operaciones!$G$5:$G$504&lt;&gt;""))</f>
        <v>0</v>
      </c>
      <c r="L27" s="40" t="n">
        <f aca="false">SUMIF(Operaciones!$C$5:$C$504,$J27,Operaciones!$G$5:$G$504)</f>
        <v>0</v>
      </c>
      <c r="M27" s="2"/>
      <c r="N27" s="72" t="s">
        <v>123</v>
      </c>
      <c r="O27" s="73" t="n">
        <f aca="false">SUMPRODUCT((Operaciones!$M$5:$M$504=$N27)*(Operaciones!$G$5:$G$504&lt;&gt;""))</f>
        <v>0</v>
      </c>
      <c r="P27" s="40" t="n">
        <f aca="false">SUMIF(Operaciones!$M$5:$M$504,$N27,Operaciones!$G$5:$G$504)</f>
        <v>0</v>
      </c>
      <c r="Q27" s="2"/>
      <c r="R27" s="2"/>
      <c r="S27" s="3"/>
      <c r="T27" s="3"/>
      <c r="U27" s="3"/>
      <c r="V27" s="3"/>
      <c r="W27" s="3"/>
      <c r="X27" s="3"/>
      <c r="Y27" s="3"/>
      <c r="Z27" s="3"/>
      <c r="AA27" s="3"/>
      <c r="AB27" s="56" t="n">
        <f aca="true">TODAY()-37</f>
        <v>46252</v>
      </c>
      <c r="AC27" s="57" t="n">
        <f aca="false">'Empieza aquí'!$D$8+SUMIFS(Operaciones!$G$5:$G$504,Operaciones!$B$5:$B$504,"&lt;="&amp;$AB27)</f>
        <v>50000</v>
      </c>
      <c r="AD27" s="3"/>
      <c r="AE27" s="3"/>
      <c r="AF27" s="3"/>
      <c r="AG27" s="3"/>
      <c r="AH27" s="3"/>
      <c r="AI27" s="3"/>
      <c r="AJ27" s="3"/>
    </row>
    <row r="28" customFormat="false" ht="15" hidden="false" customHeight="true" outlineLevel="0" collapsed="false">
      <c r="A28" s="2"/>
      <c r="B28" s="72" t="s">
        <v>124</v>
      </c>
      <c r="C28" s="73" t="n">
        <f aca="false">SUMPRODUCT((Operaciones!$J$5:$J$504=$B28)*(Operaciones!$G$5:$G$504&lt;&gt;""))</f>
        <v>0</v>
      </c>
      <c r="D28" s="40" t="n">
        <f aca="false">SUMIF(Operaciones!$J$5:$J$504,$B28,Operaciones!$G$5:$G$504)</f>
        <v>0</v>
      </c>
      <c r="E28" s="2"/>
      <c r="F28" s="72" t="s">
        <v>125</v>
      </c>
      <c r="G28" s="73" t="n">
        <f aca="false">SUMPRODUCT((Operaciones!$K$5:$K$504=$F28)*(Operaciones!$G$5:$G$504&lt;&gt;""))</f>
        <v>0</v>
      </c>
      <c r="H28" s="40" t="n">
        <f aca="false">SUMIF(Operaciones!$K$5:$K$504,$F28,Operaciones!$G$5:$G$504)</f>
        <v>0</v>
      </c>
      <c r="I28" s="2"/>
      <c r="J28" s="72" t="s">
        <v>45</v>
      </c>
      <c r="K28" s="73" t="n">
        <f aca="false">SUMPRODUCT((Operaciones!$C$5:$C$504=$J28)*(Operaciones!$G$5:$G$504&lt;&gt;""))</f>
        <v>0</v>
      </c>
      <c r="L28" s="40" t="n">
        <f aca="false">SUMIF(Operaciones!$C$5:$C$504,$J28,Operaciones!$G$5:$G$504)</f>
        <v>0</v>
      </c>
      <c r="M28" s="2"/>
      <c r="N28" s="72" t="s">
        <v>126</v>
      </c>
      <c r="O28" s="73" t="n">
        <f aca="false">SUMPRODUCT((Operaciones!$M$5:$M$504=$N28)*(Operaciones!$G$5:$G$504&lt;&gt;""))</f>
        <v>0</v>
      </c>
      <c r="P28" s="40" t="n">
        <f aca="false">SUMIF(Operaciones!$M$5:$M$504,$N28,Operaciones!$G$5:$G$504)</f>
        <v>0</v>
      </c>
      <c r="Q28" s="2"/>
      <c r="R28" s="2"/>
      <c r="S28" s="3"/>
      <c r="T28" s="3"/>
      <c r="U28" s="3"/>
      <c r="V28" s="3"/>
      <c r="W28" s="3"/>
      <c r="X28" s="3"/>
      <c r="Y28" s="3"/>
      <c r="Z28" s="3"/>
      <c r="AA28" s="3"/>
      <c r="AB28" s="56" t="n">
        <f aca="true">TODAY()-36</f>
        <v>46253</v>
      </c>
      <c r="AC28" s="57" t="n">
        <f aca="false">'Empieza aquí'!$D$8+SUMIFS(Operaciones!$G$5:$G$504,Operaciones!$B$5:$B$504,"&lt;="&amp;$AB28)</f>
        <v>50000</v>
      </c>
      <c r="AD28" s="3"/>
      <c r="AE28" s="3"/>
      <c r="AF28" s="3"/>
      <c r="AG28" s="3"/>
      <c r="AH28" s="3"/>
      <c r="AI28" s="3"/>
      <c r="AJ28" s="3"/>
    </row>
    <row r="29" customFormat="false" ht="15" hidden="false" customHeight="true" outlineLevel="0" collapsed="false">
      <c r="A29" s="2"/>
      <c r="B29" s="72" t="s">
        <v>127</v>
      </c>
      <c r="C29" s="73" t="n">
        <f aca="false">SUMPRODUCT((Operaciones!$J$5:$J$504=$B29)*(Operaciones!$G$5:$G$504&lt;&gt;""))</f>
        <v>0</v>
      </c>
      <c r="D29" s="40" t="n">
        <f aca="false">SUMIF(Operaciones!$J$5:$J$504,$B29,Operaciones!$G$5:$G$504)</f>
        <v>0</v>
      </c>
      <c r="E29" s="2"/>
      <c r="F29" s="72" t="s">
        <v>128</v>
      </c>
      <c r="G29" s="73" t="n">
        <f aca="false">SUMPRODUCT((Operaciones!$K$5:$K$504=$F29)*(Operaciones!$G$5:$G$504&lt;&gt;""))</f>
        <v>0</v>
      </c>
      <c r="H29" s="40" t="n">
        <f aca="false">SUMIF(Operaciones!$K$5:$K$504,$F29,Operaciones!$G$5:$G$504)</f>
        <v>0</v>
      </c>
      <c r="I29" s="2"/>
      <c r="J29" s="72" t="s">
        <v>129</v>
      </c>
      <c r="K29" s="73" t="n">
        <f aca="false">SUMPRODUCT((Operaciones!$C$5:$C$504=$J29)*(Operaciones!$G$5:$G$504&lt;&gt;""))</f>
        <v>0</v>
      </c>
      <c r="L29" s="40" t="n">
        <f aca="false">SUMIF(Operaciones!$C$5:$C$504,$J29,Operaciones!$G$5:$G$504)</f>
        <v>0</v>
      </c>
      <c r="M29" s="2"/>
      <c r="N29" s="72" t="s">
        <v>130</v>
      </c>
      <c r="O29" s="73" t="n">
        <f aca="false">SUMPRODUCT((Operaciones!$M$5:$M$504=$N29)*(Operaciones!$G$5:$G$504&lt;&gt;""))</f>
        <v>0</v>
      </c>
      <c r="P29" s="40" t="n">
        <f aca="false">SUMIF(Operaciones!$M$5:$M$504,$N29,Operaciones!$G$5:$G$504)</f>
        <v>0</v>
      </c>
      <c r="Q29" s="2"/>
      <c r="R29" s="2"/>
      <c r="S29" s="3"/>
      <c r="T29" s="3"/>
      <c r="U29" s="3"/>
      <c r="V29" s="3"/>
      <c r="W29" s="3"/>
      <c r="X29" s="3"/>
      <c r="Y29" s="3"/>
      <c r="Z29" s="3"/>
      <c r="AA29" s="3"/>
      <c r="AB29" s="56" t="n">
        <f aca="true">TODAY()-35</f>
        <v>46254</v>
      </c>
      <c r="AC29" s="57" t="n">
        <f aca="false">'Empieza aquí'!$D$8+SUMIFS(Operaciones!$G$5:$G$504,Operaciones!$B$5:$B$504,"&lt;="&amp;$AB29)</f>
        <v>50000</v>
      </c>
      <c r="AD29" s="3"/>
      <c r="AE29" s="3"/>
      <c r="AF29" s="3"/>
      <c r="AG29" s="3"/>
      <c r="AH29" s="3"/>
      <c r="AI29" s="3"/>
      <c r="AJ29" s="3"/>
    </row>
    <row r="30" customFormat="false" ht="15" hidden="false" customHeight="true" outlineLevel="0" collapsed="false">
      <c r="A30" s="2"/>
      <c r="B30" s="72" t="s">
        <v>131</v>
      </c>
      <c r="C30" s="73" t="n">
        <f aca="false">SUMPRODUCT((Operaciones!$J$5:$J$504=$B30)*(Operaciones!$G$5:$G$504&lt;&gt;""))</f>
        <v>0</v>
      </c>
      <c r="D30" s="40" t="n">
        <f aca="false">SUMIF(Operaciones!$J$5:$J$504,$B30,Operaciones!$G$5:$G$504)</f>
        <v>0</v>
      </c>
      <c r="E30" s="2"/>
      <c r="F30" s="72" t="s">
        <v>132</v>
      </c>
      <c r="G30" s="73" t="n">
        <f aca="false">SUMPRODUCT((Operaciones!$K$5:$K$504=$F30)*(Operaciones!$G$5:$G$504&lt;&gt;""))</f>
        <v>0</v>
      </c>
      <c r="H30" s="40" t="n">
        <f aca="false">SUMIF(Operaciones!$K$5:$K$504,$F30,Operaciones!$G$5:$G$504)</f>
        <v>0</v>
      </c>
      <c r="I30" s="2"/>
      <c r="J30" s="72" t="s">
        <v>133</v>
      </c>
      <c r="K30" s="73" t="n">
        <f aca="false">SUMPRODUCT((Operaciones!$C$5:$C$504=$J30)*(Operaciones!$G$5:$G$504&lt;&gt;""))</f>
        <v>0</v>
      </c>
      <c r="L30" s="40" t="n">
        <f aca="false">SUMIF(Operaciones!$C$5:$C$504,$J30,Operaciones!$G$5:$G$504)</f>
        <v>0</v>
      </c>
      <c r="M30" s="2"/>
      <c r="N30" s="72" t="s">
        <v>134</v>
      </c>
      <c r="O30" s="73" t="n">
        <f aca="false">SUMPRODUCT((Operaciones!$M$5:$M$504=$N30)*(Operaciones!$G$5:$G$504&lt;&gt;""))</f>
        <v>0</v>
      </c>
      <c r="P30" s="40" t="n">
        <f aca="false">SUMIF(Operaciones!$M$5:$M$504,$N30,Operaciones!$G$5:$G$504)</f>
        <v>0</v>
      </c>
      <c r="Q30" s="2"/>
      <c r="R30" s="2"/>
      <c r="S30" s="3"/>
      <c r="T30" s="3"/>
      <c r="U30" s="3"/>
      <c r="V30" s="3"/>
      <c r="W30" s="3"/>
      <c r="X30" s="3"/>
      <c r="Y30" s="3"/>
      <c r="Z30" s="3"/>
      <c r="AA30" s="3"/>
      <c r="AB30" s="56" t="n">
        <f aca="true">TODAY()-34</f>
        <v>46255</v>
      </c>
      <c r="AC30" s="57" t="n">
        <f aca="false">'Empieza aquí'!$D$8+SUMIFS(Operaciones!$G$5:$G$504,Operaciones!$B$5:$B$504,"&lt;="&amp;$AB30)</f>
        <v>50000</v>
      </c>
      <c r="AD30" s="3"/>
      <c r="AE30" s="3"/>
      <c r="AF30" s="3"/>
      <c r="AG30" s="3"/>
      <c r="AH30" s="3"/>
      <c r="AI30" s="3"/>
      <c r="AJ30" s="3"/>
    </row>
    <row r="31" customFormat="false" ht="15" hidden="false" customHeight="true" outlineLevel="0" collapsed="false">
      <c r="A31" s="2"/>
      <c r="B31" s="72" t="s">
        <v>135</v>
      </c>
      <c r="C31" s="73" t="n">
        <f aca="false">SUMPRODUCT((Operaciones!$J$5:$J$504=$B31)*(Operaciones!$G$5:$G$504&lt;&gt;""))</f>
        <v>0</v>
      </c>
      <c r="D31" s="40" t="n">
        <f aca="false">SUMIF(Operaciones!$J$5:$J$504,$B31,Operaciones!$G$5:$G$504)</f>
        <v>0</v>
      </c>
      <c r="E31" s="2"/>
      <c r="F31" s="72" t="s">
        <v>136</v>
      </c>
      <c r="G31" s="73" t="n">
        <f aca="false">SUMPRODUCT((Operaciones!$K$5:$K$504=$F31)*(Operaciones!$G$5:$G$504&lt;&gt;""))</f>
        <v>0</v>
      </c>
      <c r="H31" s="40" t="n">
        <f aca="false">SUMIF(Operaciones!$K$5:$K$504,$F31,Operaciones!$G$5:$G$504)</f>
        <v>0</v>
      </c>
      <c r="I31" s="2"/>
      <c r="J31" s="72" t="s">
        <v>137</v>
      </c>
      <c r="K31" s="73" t="n">
        <f aca="false">SUMPRODUCT((Operaciones!$C$5:$C$504=$J31)*(Operaciones!$G$5:$G$504&lt;&gt;""))</f>
        <v>0</v>
      </c>
      <c r="L31" s="40" t="n">
        <f aca="false">SUMIF(Operaciones!$C$5:$C$504,$J31,Operaciones!$G$5:$G$504)</f>
        <v>0</v>
      </c>
      <c r="M31" s="2"/>
      <c r="N31" s="72" t="s">
        <v>138</v>
      </c>
      <c r="O31" s="73" t="n">
        <f aca="false">SUMPRODUCT((Operaciones!$M$5:$M$504=$N31)*(Operaciones!$G$5:$G$504&lt;&gt;""))</f>
        <v>0</v>
      </c>
      <c r="P31" s="40" t="n">
        <f aca="false">SUMIF(Operaciones!$M$5:$M$504,$N31,Operaciones!$G$5:$G$504)</f>
        <v>0</v>
      </c>
      <c r="Q31" s="2"/>
      <c r="R31" s="2"/>
      <c r="S31" s="3"/>
      <c r="T31" s="3"/>
      <c r="U31" s="3"/>
      <c r="V31" s="3"/>
      <c r="W31" s="3"/>
      <c r="X31" s="3"/>
      <c r="Y31" s="3"/>
      <c r="Z31" s="3"/>
      <c r="AA31" s="3"/>
      <c r="AB31" s="56" t="n">
        <f aca="true">TODAY()-33</f>
        <v>46256</v>
      </c>
      <c r="AC31" s="57" t="n">
        <f aca="false">'Empieza aquí'!$D$8+SUMIFS(Operaciones!$G$5:$G$504,Operaciones!$B$5:$B$504,"&lt;="&amp;$AB31)</f>
        <v>50000</v>
      </c>
      <c r="AD31" s="3"/>
      <c r="AE31" s="3"/>
      <c r="AF31" s="3"/>
      <c r="AG31" s="3"/>
      <c r="AH31" s="3"/>
      <c r="AI31" s="3"/>
      <c r="AJ31" s="3"/>
    </row>
    <row r="32" customFormat="false" ht="15" hidden="false" customHeight="true" outlineLevel="0" collapsed="false">
      <c r="A32" s="2"/>
      <c r="B32" s="2"/>
      <c r="C32" s="2"/>
      <c r="D32" s="2"/>
      <c r="E32" s="2"/>
      <c r="F32" s="72" t="s">
        <v>139</v>
      </c>
      <c r="G32" s="73" t="n">
        <f aca="false">SUMPRODUCT((Operaciones!$K$5:$K$504=$F32)*(Operaciones!$G$5:$G$504&lt;&gt;""))</f>
        <v>0</v>
      </c>
      <c r="H32" s="40" t="n">
        <f aca="false">SUMIF(Operaciones!$K$5:$K$504,$F32,Operaciones!$G$5:$G$504)</f>
        <v>0</v>
      </c>
      <c r="I32" s="2"/>
      <c r="J32" s="72" t="s">
        <v>140</v>
      </c>
      <c r="K32" s="73" t="n">
        <f aca="false">SUMPRODUCT((Operaciones!$C$5:$C$504=$J32)*(Operaciones!$G$5:$G$504&lt;&gt;""))</f>
        <v>0</v>
      </c>
      <c r="L32" s="40" t="n">
        <f aca="false">SUMIF(Operaciones!$C$5:$C$504,$J32,Operaciones!$G$5:$G$504)</f>
        <v>0</v>
      </c>
      <c r="M32" s="2"/>
      <c r="N32" s="72" t="s">
        <v>141</v>
      </c>
      <c r="O32" s="73" t="n">
        <f aca="false">SUMPRODUCT((Operaciones!$M$5:$M$504=$N32)*(Operaciones!$G$5:$G$504&lt;&gt;""))</f>
        <v>0</v>
      </c>
      <c r="P32" s="40" t="n">
        <f aca="false">SUMIF(Operaciones!$M$5:$M$504,$N32,Operaciones!$G$5:$G$504)</f>
        <v>0</v>
      </c>
      <c r="Q32" s="2"/>
      <c r="R32" s="2"/>
      <c r="S32" s="3"/>
      <c r="T32" s="3"/>
      <c r="U32" s="3"/>
      <c r="V32" s="3"/>
      <c r="W32" s="3"/>
      <c r="X32" s="3"/>
      <c r="Y32" s="3"/>
      <c r="Z32" s="3"/>
      <c r="AA32" s="3"/>
      <c r="AB32" s="56" t="n">
        <f aca="true">TODAY()-32</f>
        <v>46257</v>
      </c>
      <c r="AC32" s="57" t="n">
        <f aca="false">'Empieza aquí'!$D$8+SUMIFS(Operaciones!$G$5:$G$504,Operaciones!$B$5:$B$504,"&lt;="&amp;$AB32)</f>
        <v>50000</v>
      </c>
      <c r="AD32" s="3"/>
      <c r="AE32" s="3"/>
      <c r="AF32" s="3"/>
      <c r="AG32" s="3"/>
      <c r="AH32" s="3"/>
      <c r="AI32" s="3"/>
      <c r="AJ32" s="3"/>
    </row>
    <row r="33" customFormat="false" ht="15" hidden="false" customHeight="true" outlineLevel="0" collapsed="false">
      <c r="A33" s="2"/>
      <c r="B33" s="2"/>
      <c r="C33" s="2"/>
      <c r="D33" s="2"/>
      <c r="E33" s="2"/>
      <c r="F33" s="72" t="s">
        <v>142</v>
      </c>
      <c r="G33" s="73" t="n">
        <f aca="false">SUMPRODUCT((Operaciones!$K$5:$K$504=$F33)*(Operaciones!$G$5:$G$504&lt;&gt;""))</f>
        <v>0</v>
      </c>
      <c r="H33" s="40" t="n">
        <f aca="false">SUMIF(Operaciones!$K$5:$K$504,$F33,Operaciones!$G$5:$G$504)</f>
        <v>0</v>
      </c>
      <c r="I33" s="2"/>
      <c r="J33" s="72" t="s">
        <v>143</v>
      </c>
      <c r="K33" s="73" t="n">
        <f aca="false">SUMPRODUCT((Operaciones!$C$5:$C$504=$J33)*(Operaciones!$G$5:$G$504&lt;&gt;""))</f>
        <v>0</v>
      </c>
      <c r="L33" s="40" t="n">
        <f aca="false">SUMIF(Operaciones!$C$5:$C$504,$J33,Operaciones!$G$5:$G$504)</f>
        <v>0</v>
      </c>
      <c r="M33" s="2"/>
      <c r="N33" s="2"/>
      <c r="O33" s="2"/>
      <c r="P33" s="2"/>
      <c r="Q33" s="2"/>
      <c r="R33" s="2"/>
      <c r="S33" s="3"/>
      <c r="T33" s="3"/>
      <c r="U33" s="3"/>
      <c r="V33" s="3"/>
      <c r="W33" s="3"/>
      <c r="X33" s="3"/>
      <c r="Y33" s="3"/>
      <c r="Z33" s="3"/>
      <c r="AA33" s="3"/>
      <c r="AB33" s="56" t="n">
        <f aca="true">TODAY()-31</f>
        <v>46258</v>
      </c>
      <c r="AC33" s="57" t="n">
        <f aca="false">'Empieza aquí'!$D$8+SUMIFS(Operaciones!$G$5:$G$504,Operaciones!$B$5:$B$504,"&lt;="&amp;$AB33)</f>
        <v>50000</v>
      </c>
      <c r="AD33" s="3"/>
      <c r="AE33" s="3"/>
      <c r="AF33" s="3"/>
      <c r="AG33" s="3"/>
      <c r="AH33" s="3"/>
      <c r="AI33" s="3"/>
      <c r="AJ33" s="3"/>
    </row>
    <row r="34" customFormat="false" ht="15" hidden="false" customHeight="true" outlineLevel="0" collapsed="false">
      <c r="A34" s="2"/>
      <c r="B34" s="2"/>
      <c r="C34" s="2"/>
      <c r="D34" s="2"/>
      <c r="E34" s="2"/>
      <c r="F34" s="72" t="s">
        <v>144</v>
      </c>
      <c r="G34" s="73" t="n">
        <f aca="false">SUMPRODUCT((Operaciones!$K$5:$K$504=$F34)*(Operaciones!$G$5:$G$504&lt;&gt;""))</f>
        <v>0</v>
      </c>
      <c r="H34" s="40" t="n">
        <f aca="false">SUMIF(Operaciones!$K$5:$K$504,$F34,Operaciones!$G$5:$G$504)</f>
        <v>0</v>
      </c>
      <c r="I34" s="2"/>
      <c r="J34" s="72" t="s">
        <v>145</v>
      </c>
      <c r="K34" s="73" t="n">
        <f aca="false">SUMPRODUCT((Operaciones!$C$5:$C$504=$J34)*(Operaciones!$G$5:$G$504&lt;&gt;""))</f>
        <v>0</v>
      </c>
      <c r="L34" s="40" t="n">
        <f aca="false">SUMIF(Operaciones!$C$5:$C$504,$J34,Operaciones!$G$5:$G$504)</f>
        <v>0</v>
      </c>
      <c r="M34" s="2"/>
      <c r="N34" s="2"/>
      <c r="O34" s="2"/>
      <c r="P34" s="2"/>
      <c r="Q34" s="2"/>
      <c r="R34" s="2"/>
      <c r="S34" s="3"/>
      <c r="T34" s="3"/>
      <c r="U34" s="3"/>
      <c r="V34" s="3"/>
      <c r="W34" s="3"/>
      <c r="X34" s="3"/>
      <c r="Y34" s="3"/>
      <c r="Z34" s="3"/>
      <c r="AA34" s="3"/>
      <c r="AB34" s="56" t="n">
        <f aca="true">TODAY()-30</f>
        <v>46259</v>
      </c>
      <c r="AC34" s="57" t="n">
        <f aca="false">'Empieza aquí'!$D$8+SUMIFS(Operaciones!$G$5:$G$504,Operaciones!$B$5:$B$504,"&lt;="&amp;$AB34)</f>
        <v>50000</v>
      </c>
      <c r="AD34" s="3"/>
      <c r="AE34" s="3"/>
      <c r="AF34" s="3"/>
      <c r="AG34" s="3"/>
      <c r="AH34" s="3"/>
      <c r="AI34" s="3"/>
      <c r="AJ34" s="3"/>
    </row>
    <row r="35" customFormat="false" ht="15" hidden="false" customHeight="true" outlineLevel="0" collapsed="false">
      <c r="A35" s="2"/>
      <c r="B35" s="2"/>
      <c r="C35" s="2"/>
      <c r="D35" s="2"/>
      <c r="E35" s="2"/>
      <c r="F35" s="72" t="s">
        <v>146</v>
      </c>
      <c r="G35" s="73" t="n">
        <f aca="false">SUMPRODUCT((Operaciones!$K$5:$K$504=$F35)*(Operaciones!$G$5:$G$504&lt;&gt;""))</f>
        <v>0</v>
      </c>
      <c r="H35" s="40" t="n">
        <f aca="false">SUMIF(Operaciones!$K$5:$K$504,$F35,Operaciones!$G$5:$G$504)</f>
        <v>0</v>
      </c>
      <c r="I35" s="2"/>
      <c r="J35" s="72" t="s">
        <v>147</v>
      </c>
      <c r="K35" s="73" t="n">
        <f aca="false">SUMPRODUCT((Operaciones!$C$5:$C$504=$J35)*(Operaciones!$G$5:$G$504&lt;&gt;""))</f>
        <v>0</v>
      </c>
      <c r="L35" s="40" t="n">
        <f aca="false">SUMIF(Operaciones!$C$5:$C$504,$J35,Operaciones!$G$5:$G$504)</f>
        <v>0</v>
      </c>
      <c r="M35" s="2"/>
      <c r="N35" s="2"/>
      <c r="O35" s="2"/>
      <c r="P35" s="2"/>
      <c r="Q35" s="2"/>
      <c r="R35" s="2"/>
      <c r="S35" s="3"/>
      <c r="T35" s="3"/>
      <c r="U35" s="3"/>
      <c r="V35" s="3"/>
      <c r="W35" s="3"/>
      <c r="X35" s="3"/>
      <c r="Y35" s="3"/>
      <c r="Z35" s="3"/>
      <c r="AA35" s="3"/>
      <c r="AB35" s="56" t="n">
        <f aca="true">TODAY()-29</f>
        <v>46260</v>
      </c>
      <c r="AC35" s="57" t="n">
        <f aca="false">'Empieza aquí'!$D$8+SUMIFS(Operaciones!$G$5:$G$504,Operaciones!$B$5:$B$504,"&lt;="&amp;$AB35)</f>
        <v>50000</v>
      </c>
      <c r="AD35" s="3"/>
      <c r="AE35" s="3"/>
      <c r="AF35" s="3"/>
      <c r="AG35" s="3"/>
      <c r="AH35" s="3"/>
      <c r="AI35" s="3"/>
      <c r="AJ35" s="3"/>
    </row>
    <row r="36" customFormat="false" ht="15" hidden="false" customHeight="true" outlineLevel="0" collapsed="false">
      <c r="A36" s="2"/>
      <c r="B36" s="2"/>
      <c r="C36" s="2"/>
      <c r="D36" s="2"/>
      <c r="E36" s="2"/>
      <c r="F36" s="72" t="s">
        <v>148</v>
      </c>
      <c r="G36" s="73" t="n">
        <f aca="false">SUMPRODUCT((Operaciones!$K$5:$K$504=$F36)*(Operaciones!$G$5:$G$504&lt;&gt;""))</f>
        <v>0</v>
      </c>
      <c r="H36" s="40" t="n">
        <f aca="false">SUMIF(Operaciones!$K$5:$K$504,$F36,Operaciones!$G$5:$G$504)</f>
        <v>0</v>
      </c>
      <c r="I36" s="2"/>
      <c r="J36" s="72" t="s">
        <v>149</v>
      </c>
      <c r="K36" s="73" t="n">
        <f aca="false">SUMPRODUCT((Operaciones!$C$5:$C$504=$J36)*(Operaciones!$G$5:$G$504&lt;&gt;""))</f>
        <v>0</v>
      </c>
      <c r="L36" s="40" t="n">
        <f aca="false">SUMIF(Operaciones!$C$5:$C$504,$J36,Operaciones!$G$5:$G$504)</f>
        <v>0</v>
      </c>
      <c r="M36" s="2"/>
      <c r="N36" s="2"/>
      <c r="O36" s="2"/>
      <c r="P36" s="2"/>
      <c r="Q36" s="2"/>
      <c r="R36" s="2"/>
      <c r="S36" s="3"/>
      <c r="T36" s="3"/>
      <c r="U36" s="3"/>
      <c r="V36" s="3"/>
      <c r="W36" s="3"/>
      <c r="X36" s="3"/>
      <c r="Y36" s="3"/>
      <c r="Z36" s="3"/>
      <c r="AA36" s="3"/>
      <c r="AB36" s="56" t="n">
        <f aca="true">TODAY()-28</f>
        <v>46261</v>
      </c>
      <c r="AC36" s="57" t="n">
        <f aca="false">'Empieza aquí'!$D$8+SUMIFS(Operaciones!$G$5:$G$504,Operaciones!$B$5:$B$504,"&lt;="&amp;$AB36)</f>
        <v>50000</v>
      </c>
      <c r="AD36" s="3"/>
      <c r="AE36" s="3"/>
      <c r="AF36" s="3"/>
      <c r="AG36" s="3"/>
      <c r="AH36" s="3"/>
      <c r="AI36" s="3"/>
      <c r="AJ36" s="3"/>
    </row>
    <row r="37" customFormat="false" ht="15" hidden="false" customHeight="true" outlineLevel="0" collapsed="false">
      <c r="A37" s="2"/>
      <c r="B37" s="2"/>
      <c r="C37" s="2"/>
      <c r="D37" s="2"/>
      <c r="E37" s="2"/>
      <c r="F37" s="72" t="s">
        <v>150</v>
      </c>
      <c r="G37" s="73" t="n">
        <f aca="false">SUMPRODUCT((Operaciones!$K$5:$K$504=$F37)*(Operaciones!$G$5:$G$504&lt;&gt;""))</f>
        <v>0</v>
      </c>
      <c r="H37" s="40" t="n">
        <f aca="false">SUMIF(Operaciones!$K$5:$K$504,$F37,Operaciones!$G$5:$G$504)</f>
        <v>0</v>
      </c>
      <c r="I37" s="2"/>
      <c r="J37" s="72" t="s">
        <v>151</v>
      </c>
      <c r="K37" s="73" t="n">
        <f aca="false">SUMPRODUCT((Operaciones!$C$5:$C$504=$J37)*(Operaciones!$G$5:$G$504&lt;&gt;""))</f>
        <v>0</v>
      </c>
      <c r="L37" s="40" t="n">
        <f aca="false">SUMIF(Operaciones!$C$5:$C$504,$J37,Operaciones!$G$5:$G$504)</f>
        <v>0</v>
      </c>
      <c r="M37" s="2"/>
      <c r="N37" s="2"/>
      <c r="O37" s="2"/>
      <c r="P37" s="2"/>
      <c r="Q37" s="2"/>
      <c r="R37" s="2"/>
      <c r="S37" s="3"/>
      <c r="T37" s="3"/>
      <c r="U37" s="3"/>
      <c r="V37" s="3"/>
      <c r="W37" s="3"/>
      <c r="X37" s="3"/>
      <c r="Y37" s="3"/>
      <c r="Z37" s="3"/>
      <c r="AA37" s="3"/>
      <c r="AB37" s="56" t="n">
        <f aca="true">TODAY()-27</f>
        <v>46262</v>
      </c>
      <c r="AC37" s="57" t="n">
        <f aca="false">'Empieza aquí'!$D$8+SUMIFS(Operaciones!$G$5:$G$504,Operaciones!$B$5:$B$504,"&lt;="&amp;$AB37)</f>
        <v>50000</v>
      </c>
      <c r="AD37" s="3"/>
      <c r="AE37" s="3"/>
      <c r="AF37" s="3"/>
      <c r="AG37" s="3"/>
      <c r="AH37" s="3"/>
      <c r="AI37" s="3"/>
      <c r="AJ37" s="3"/>
    </row>
    <row r="38" customFormat="false" ht="15" hidden="false" customHeight="true" outlineLevel="0" collapsed="false">
      <c r="A38" s="2"/>
      <c r="B38" s="2"/>
      <c r="C38" s="2"/>
      <c r="D38" s="2"/>
      <c r="E38" s="2"/>
      <c r="F38" s="72" t="s">
        <v>152</v>
      </c>
      <c r="G38" s="73" t="n">
        <f aca="false">SUMPRODUCT((Operaciones!$K$5:$K$504=$F38)*(Operaciones!$G$5:$G$504&lt;&gt;""))</f>
        <v>0</v>
      </c>
      <c r="H38" s="40" t="n">
        <f aca="false">SUMIF(Operaciones!$K$5:$K$504,$F38,Operaciones!$G$5:$G$504)</f>
        <v>0</v>
      </c>
      <c r="I38" s="2"/>
      <c r="J38" s="72" t="s">
        <v>153</v>
      </c>
      <c r="K38" s="73" t="n">
        <f aca="false">SUMPRODUCT((Operaciones!$C$5:$C$504=$J38)*(Operaciones!$G$5:$G$504&lt;&gt;""))</f>
        <v>0</v>
      </c>
      <c r="L38" s="40" t="n">
        <f aca="false">SUMIF(Operaciones!$C$5:$C$504,$J38,Operaciones!$G$5:$G$504)</f>
        <v>0</v>
      </c>
      <c r="M38" s="2"/>
      <c r="N38" s="2"/>
      <c r="O38" s="2"/>
      <c r="P38" s="2"/>
      <c r="Q38" s="2"/>
      <c r="R38" s="2"/>
      <c r="S38" s="3"/>
      <c r="T38" s="3"/>
      <c r="U38" s="3"/>
      <c r="V38" s="3"/>
      <c r="W38" s="3"/>
      <c r="X38" s="3"/>
      <c r="Y38" s="3"/>
      <c r="Z38" s="3"/>
      <c r="AA38" s="3"/>
      <c r="AB38" s="56" t="n">
        <f aca="true">TODAY()-26</f>
        <v>46263</v>
      </c>
      <c r="AC38" s="57" t="n">
        <f aca="false">'Empieza aquí'!$D$8+SUMIFS(Operaciones!$G$5:$G$504,Operaciones!$B$5:$B$504,"&lt;="&amp;$AB38)</f>
        <v>50000</v>
      </c>
      <c r="AD38" s="3"/>
      <c r="AE38" s="3"/>
      <c r="AF38" s="3"/>
      <c r="AG38" s="3"/>
      <c r="AH38" s="3"/>
      <c r="AI38" s="3"/>
      <c r="AJ38" s="3"/>
    </row>
    <row r="39" customFormat="false" ht="15" hidden="false" customHeight="true" outlineLevel="0" collapsed="false">
      <c r="A39" s="2"/>
      <c r="B39" s="2"/>
      <c r="C39" s="2"/>
      <c r="D39" s="2"/>
      <c r="E39" s="2"/>
      <c r="F39" s="72" t="s">
        <v>154</v>
      </c>
      <c r="G39" s="73" t="n">
        <f aca="false">SUMPRODUCT((Operaciones!$K$5:$K$504=$F39)*(Operaciones!$G$5:$G$504&lt;&gt;""))</f>
        <v>0</v>
      </c>
      <c r="H39" s="40" t="n">
        <f aca="false">SUMIF(Operaciones!$K$5:$K$504,$F39,Operaciones!$G$5:$G$504)</f>
        <v>0</v>
      </c>
      <c r="I39" s="2"/>
      <c r="J39" s="72" t="s">
        <v>155</v>
      </c>
      <c r="K39" s="73" t="n">
        <f aca="false">SUMPRODUCT((Operaciones!$C$5:$C$504=$J39)*(Operaciones!$G$5:$G$504&lt;&gt;""))</f>
        <v>0</v>
      </c>
      <c r="L39" s="40" t="n">
        <f aca="false">SUMIF(Operaciones!$C$5:$C$504,$J39,Operaciones!$G$5:$G$504)</f>
        <v>0</v>
      </c>
      <c r="M39" s="2"/>
      <c r="N39" s="2"/>
      <c r="O39" s="2"/>
      <c r="P39" s="2"/>
      <c r="Q39" s="2"/>
      <c r="R39" s="2"/>
      <c r="S39" s="3"/>
      <c r="T39" s="3"/>
      <c r="U39" s="3"/>
      <c r="V39" s="3"/>
      <c r="W39" s="3"/>
      <c r="X39" s="3"/>
      <c r="Y39" s="3"/>
      <c r="Z39" s="3"/>
      <c r="AA39" s="3"/>
      <c r="AB39" s="56" t="n">
        <f aca="true">TODAY()-25</f>
        <v>46264</v>
      </c>
      <c r="AC39" s="57" t="n">
        <f aca="false">'Empieza aquí'!$D$8+SUMIFS(Operaciones!$G$5:$G$504,Operaciones!$B$5:$B$504,"&lt;="&amp;$AB39)</f>
        <v>50000</v>
      </c>
      <c r="AD39" s="3"/>
      <c r="AE39" s="3"/>
      <c r="AF39" s="3"/>
      <c r="AG39" s="3"/>
      <c r="AH39" s="3"/>
      <c r="AI39" s="3"/>
      <c r="AJ39" s="3"/>
    </row>
    <row r="40" customFormat="false" ht="15" hidden="false" customHeight="true" outlineLevel="0" collapsed="false">
      <c r="A40" s="2"/>
      <c r="B40" s="2"/>
      <c r="C40" s="2"/>
      <c r="D40" s="2"/>
      <c r="E40" s="2"/>
      <c r="F40" s="72" t="s">
        <v>156</v>
      </c>
      <c r="G40" s="73" t="n">
        <f aca="false">SUMPRODUCT((Operaciones!$K$5:$K$504=$F40)*(Operaciones!$G$5:$G$504&lt;&gt;""))</f>
        <v>0</v>
      </c>
      <c r="H40" s="40" t="n">
        <f aca="false">SUMIF(Operaciones!$K$5:$K$504,$F40,Operaciones!$G$5:$G$504)</f>
        <v>0</v>
      </c>
      <c r="I40" s="2"/>
      <c r="J40" s="72" t="s">
        <v>157</v>
      </c>
      <c r="K40" s="73" t="n">
        <f aca="false">SUMPRODUCT((Operaciones!$C$5:$C$504=$J40)*(Operaciones!$G$5:$G$504&lt;&gt;""))</f>
        <v>0</v>
      </c>
      <c r="L40" s="40" t="n">
        <f aca="false">SUMIF(Operaciones!$C$5:$C$504,$J40,Operaciones!$G$5:$G$504)</f>
        <v>0</v>
      </c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56" t="n">
        <f aca="true">TODAY()-24</f>
        <v>46265</v>
      </c>
      <c r="AC40" s="57" t="n">
        <f aca="false">'Empieza aquí'!$D$8+SUMIFS(Operaciones!$G$5:$G$504,Operaciones!$B$5:$B$504,"&lt;="&amp;$AB40)</f>
        <v>50000</v>
      </c>
      <c r="AD40" s="3"/>
      <c r="AE40" s="3"/>
      <c r="AF40" s="3"/>
      <c r="AG40" s="3"/>
      <c r="AH40" s="3"/>
      <c r="AI40" s="3"/>
      <c r="AJ40" s="3"/>
    </row>
    <row r="41" customFormat="false" ht="15" hidden="false" customHeight="true" outlineLevel="0" collapsed="false">
      <c r="A41" s="2"/>
      <c r="B41" s="2"/>
      <c r="C41" s="2"/>
      <c r="D41" s="2"/>
      <c r="E41" s="2"/>
      <c r="F41" s="72" t="s">
        <v>158</v>
      </c>
      <c r="G41" s="73" t="n">
        <f aca="false">SUMPRODUCT((Operaciones!$K$5:$K$504=$F41)*(Operaciones!$G$5:$G$504&lt;&gt;""))</f>
        <v>0</v>
      </c>
      <c r="H41" s="40" t="n">
        <f aca="false">SUMIF(Operaciones!$K$5:$K$504,$F41,Operaciones!$G$5:$G$504)</f>
        <v>0</v>
      </c>
      <c r="I41" s="2"/>
      <c r="J41" s="72" t="s">
        <v>159</v>
      </c>
      <c r="K41" s="73" t="n">
        <f aca="false">SUMPRODUCT((Operaciones!$C$5:$C$504=$J41)*(Operaciones!$G$5:$G$504&lt;&gt;""))</f>
        <v>0</v>
      </c>
      <c r="L41" s="40" t="n">
        <f aca="false">SUMIF(Operaciones!$C$5:$C$504,$J41,Operaciones!$G$5:$G$504)</f>
        <v>0</v>
      </c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56" t="n">
        <f aca="true">TODAY()-23</f>
        <v>46266</v>
      </c>
      <c r="AC41" s="57" t="n">
        <f aca="false">'Empieza aquí'!$D$8+SUMIFS(Operaciones!$G$5:$G$504,Operaciones!$B$5:$B$504,"&lt;="&amp;$AB41)</f>
        <v>50000</v>
      </c>
      <c r="AD41" s="3"/>
      <c r="AE41" s="3"/>
      <c r="AF41" s="3"/>
      <c r="AG41" s="3"/>
      <c r="AH41" s="3"/>
      <c r="AI41" s="3"/>
      <c r="AJ41" s="3"/>
    </row>
    <row r="42" customFormat="false" ht="15" hidden="false" customHeight="true" outlineLevel="0" collapsed="false">
      <c r="A42" s="2"/>
      <c r="B42" s="2"/>
      <c r="C42" s="2"/>
      <c r="D42" s="2"/>
      <c r="E42" s="2"/>
      <c r="F42" s="72" t="s">
        <v>160</v>
      </c>
      <c r="G42" s="73" t="n">
        <f aca="false">SUMPRODUCT((Operaciones!$K$5:$K$504=$F42)*(Operaciones!$G$5:$G$504&lt;&gt;""))</f>
        <v>0</v>
      </c>
      <c r="H42" s="40" t="n">
        <f aca="false">SUMIF(Operaciones!$K$5:$K$504,$F42,Operaciones!$G$5:$G$504)</f>
        <v>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56" t="n">
        <f aca="true">TODAY()-22</f>
        <v>46267</v>
      </c>
      <c r="AC42" s="57" t="n">
        <f aca="false">'Empieza aquí'!$D$8+SUMIFS(Operaciones!$G$5:$G$504,Operaciones!$B$5:$B$504,"&lt;="&amp;$AB42)</f>
        <v>50000</v>
      </c>
      <c r="AD42" s="3"/>
      <c r="AE42" s="3"/>
      <c r="AF42" s="3"/>
      <c r="AG42" s="3"/>
      <c r="AH42" s="3"/>
      <c r="AI42" s="3"/>
      <c r="AJ42" s="3"/>
    </row>
    <row r="43" customFormat="false" ht="15" hidden="false" customHeight="true" outlineLevel="0" collapsed="false">
      <c r="A43" s="2"/>
      <c r="B43" s="2"/>
      <c r="C43" s="2"/>
      <c r="D43" s="2"/>
      <c r="E43" s="2"/>
      <c r="F43" s="72" t="s">
        <v>161</v>
      </c>
      <c r="G43" s="73" t="n">
        <f aca="false">SUMPRODUCT((Operaciones!$K$5:$K$504=$F43)*(Operaciones!$G$5:$G$504&lt;&gt;""))</f>
        <v>0</v>
      </c>
      <c r="H43" s="40" t="n">
        <f aca="false">SUMIF(Operaciones!$K$5:$K$504,$F43,Operaciones!$G$5:$G$504)</f>
        <v>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56" t="n">
        <f aca="true">TODAY()-21</f>
        <v>46268</v>
      </c>
      <c r="AC43" s="57" t="n">
        <f aca="false">'Empieza aquí'!$D$8+SUMIFS(Operaciones!$G$5:$G$504,Operaciones!$B$5:$B$504,"&lt;="&amp;$AB43)</f>
        <v>50000</v>
      </c>
      <c r="AD43" s="3"/>
      <c r="AE43" s="3"/>
      <c r="AF43" s="3"/>
      <c r="AG43" s="3"/>
      <c r="AH43" s="3"/>
      <c r="AI43" s="3"/>
      <c r="AJ43" s="3"/>
    </row>
    <row r="44" customFormat="false" ht="15" hidden="false" customHeight="true" outlineLevel="0" collapsed="false">
      <c r="A44" s="2"/>
      <c r="B44" s="2"/>
      <c r="C44" s="2"/>
      <c r="D44" s="2"/>
      <c r="E44" s="2"/>
      <c r="F44" s="72" t="s">
        <v>162</v>
      </c>
      <c r="G44" s="73" t="n">
        <f aca="false">SUMPRODUCT((Operaciones!$K$5:$K$504=$F44)*(Operaciones!$G$5:$G$504&lt;&gt;""))</f>
        <v>0</v>
      </c>
      <c r="H44" s="40" t="n">
        <f aca="false">SUMIF(Operaciones!$K$5:$K$504,$F44,Operaciones!$G$5:$G$504)</f>
        <v>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56" t="n">
        <f aca="true">TODAY()-20</f>
        <v>46269</v>
      </c>
      <c r="AC44" s="57" t="n">
        <f aca="false">'Empieza aquí'!$D$8+SUMIFS(Operaciones!$G$5:$G$504,Operaciones!$B$5:$B$504,"&lt;="&amp;$AB44)</f>
        <v>50000</v>
      </c>
      <c r="AD44" s="3"/>
      <c r="AE44" s="3"/>
      <c r="AF44" s="3"/>
      <c r="AG44" s="3"/>
      <c r="AH44" s="3"/>
      <c r="AI44" s="3"/>
      <c r="AJ44" s="3"/>
    </row>
    <row r="45" customFormat="false" ht="15" hidden="false" customHeight="true" outlineLevel="0" collapsed="false">
      <c r="A45" s="2"/>
      <c r="B45" s="2"/>
      <c r="C45" s="2"/>
      <c r="D45" s="2"/>
      <c r="E45" s="2"/>
      <c r="F45" s="72" t="s">
        <v>163</v>
      </c>
      <c r="G45" s="73" t="n">
        <f aca="false">SUMPRODUCT((Operaciones!$K$5:$K$504=$F45)*(Operaciones!$G$5:$G$504&lt;&gt;""))</f>
        <v>0</v>
      </c>
      <c r="H45" s="40" t="n">
        <f aca="false">SUMIF(Operaciones!$K$5:$K$504,$F45,Operaciones!$G$5:$G$504)</f>
        <v>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56" t="n">
        <f aca="true">TODAY()-19</f>
        <v>46270</v>
      </c>
      <c r="AC45" s="57" t="n">
        <f aca="false">'Empieza aquí'!$D$8+SUMIFS(Operaciones!$G$5:$G$504,Operaciones!$B$5:$B$504,"&lt;="&amp;$AB45)</f>
        <v>50000</v>
      </c>
      <c r="AD45" s="3"/>
      <c r="AE45" s="3"/>
      <c r="AF45" s="3"/>
      <c r="AG45" s="3"/>
      <c r="AH45" s="3"/>
      <c r="AI45" s="3"/>
      <c r="AJ45" s="3"/>
    </row>
    <row r="46" customFormat="false" ht="15" hidden="false" customHeight="true" outlineLevel="0" collapsed="false">
      <c r="A46" s="2"/>
      <c r="B46" s="2"/>
      <c r="C46" s="2"/>
      <c r="D46" s="2"/>
      <c r="E46" s="2"/>
      <c r="F46" s="72" t="s">
        <v>164</v>
      </c>
      <c r="G46" s="73" t="n">
        <f aca="false">SUMPRODUCT((Operaciones!$K$5:$K$504=$F46)*(Operaciones!$G$5:$G$504&lt;&gt;""))</f>
        <v>0</v>
      </c>
      <c r="H46" s="40" t="n">
        <f aca="false">SUMIF(Operaciones!$K$5:$K$504,$F46,Operaciones!$G$5:$G$504)</f>
        <v>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56" t="n">
        <f aca="true">TODAY()-18</f>
        <v>46271</v>
      </c>
      <c r="AC46" s="57" t="n">
        <f aca="false">'Empieza aquí'!$D$8+SUMIFS(Operaciones!$G$5:$G$504,Operaciones!$B$5:$B$504,"&lt;="&amp;$AB46)</f>
        <v>50000</v>
      </c>
      <c r="AD46" s="3"/>
      <c r="AE46" s="3"/>
      <c r="AF46" s="3"/>
      <c r="AG46" s="3"/>
      <c r="AH46" s="3"/>
      <c r="AI46" s="3"/>
      <c r="AJ46" s="3"/>
    </row>
    <row r="47" customFormat="false" ht="15" hidden="false" customHeight="true" outlineLevel="0" collapsed="false">
      <c r="A47" s="2"/>
      <c r="B47" s="2"/>
      <c r="C47" s="2"/>
      <c r="D47" s="2"/>
      <c r="E47" s="2"/>
      <c r="F47" s="72" t="s">
        <v>165</v>
      </c>
      <c r="G47" s="73" t="n">
        <f aca="false">SUMPRODUCT((Operaciones!$K$5:$K$504=$F47)*(Operaciones!$G$5:$G$504&lt;&gt;""))</f>
        <v>0</v>
      </c>
      <c r="H47" s="40" t="n">
        <f aca="false">SUMIF(Operaciones!$K$5:$K$504,$F47,Operaciones!$G$5:$G$504)</f>
        <v>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56" t="n">
        <f aca="true">TODAY()-17</f>
        <v>46272</v>
      </c>
      <c r="AC47" s="57" t="n">
        <f aca="false">'Empieza aquí'!$D$8+SUMIFS(Operaciones!$G$5:$G$504,Operaciones!$B$5:$B$504,"&lt;="&amp;$AB47)</f>
        <v>50000</v>
      </c>
      <c r="AD47" s="3"/>
      <c r="AE47" s="3"/>
      <c r="AF47" s="3"/>
      <c r="AG47" s="3"/>
      <c r="AH47" s="3"/>
      <c r="AI47" s="3"/>
      <c r="AJ47" s="3"/>
    </row>
    <row r="48" customFormat="false" ht="15" hidden="false" customHeight="true" outlineLevel="0" collapsed="false">
      <c r="A48" s="2"/>
      <c r="B48" s="2"/>
      <c r="C48" s="2"/>
      <c r="D48" s="2"/>
      <c r="E48" s="2"/>
      <c r="F48" s="72" t="s">
        <v>166</v>
      </c>
      <c r="G48" s="73" t="n">
        <f aca="false">SUMPRODUCT((Operaciones!$K$5:$K$504=$F48)*(Operaciones!$G$5:$G$504&lt;&gt;""))</f>
        <v>0</v>
      </c>
      <c r="H48" s="40" t="n">
        <f aca="false">SUMIF(Operaciones!$K$5:$K$504,$F48,Operaciones!$G$5:$G$504)</f>
        <v>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3"/>
      <c r="T48" s="3"/>
      <c r="U48" s="3"/>
      <c r="V48" s="3"/>
      <c r="W48" s="3"/>
      <c r="X48" s="3"/>
      <c r="Y48" s="3"/>
      <c r="Z48" s="3"/>
      <c r="AA48" s="3"/>
      <c r="AB48" s="56" t="n">
        <f aca="true">TODAY()-16</f>
        <v>46273</v>
      </c>
      <c r="AC48" s="57" t="n">
        <f aca="false">'Empieza aquí'!$D$8+SUMIFS(Operaciones!$G$5:$G$504,Operaciones!$B$5:$B$504,"&lt;="&amp;$AB48)</f>
        <v>50000</v>
      </c>
      <c r="AD48" s="3"/>
      <c r="AE48" s="3"/>
      <c r="AF48" s="3"/>
      <c r="AG48" s="3"/>
      <c r="AH48" s="3"/>
      <c r="AI48" s="3"/>
      <c r="AJ48" s="3"/>
    </row>
    <row r="49" customFormat="false" ht="15" hidden="false" customHeight="true" outlineLevel="0" collapsed="false">
      <c r="A49" s="2"/>
      <c r="B49" s="2"/>
      <c r="C49" s="2"/>
      <c r="D49" s="2"/>
      <c r="E49" s="2"/>
      <c r="F49" s="72" t="s">
        <v>167</v>
      </c>
      <c r="G49" s="73" t="n">
        <f aca="false">SUMPRODUCT((Operaciones!$K$5:$K$504=$F49)*(Operaciones!$G$5:$G$504&lt;&gt;""))</f>
        <v>0</v>
      </c>
      <c r="H49" s="40" t="n">
        <f aca="false">SUMIF(Operaciones!$K$5:$K$504,$F49,Operaciones!$G$5:$G$504)</f>
        <v>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56" t="n">
        <f aca="true">TODAY()-15</f>
        <v>46274</v>
      </c>
      <c r="AC49" s="57" t="n">
        <f aca="false">'Empieza aquí'!$D$8+SUMIFS(Operaciones!$G$5:$G$504,Operaciones!$B$5:$B$504,"&lt;="&amp;$AB49)</f>
        <v>50000</v>
      </c>
      <c r="AD49" s="3"/>
      <c r="AE49" s="3"/>
      <c r="AF49" s="3"/>
      <c r="AG49" s="3"/>
      <c r="AH49" s="3"/>
      <c r="AI49" s="3"/>
      <c r="AJ49" s="3"/>
    </row>
    <row r="50" customFormat="false" ht="15" hidden="false" customHeight="true" outlineLevel="0" collapsed="false">
      <c r="A50" s="2"/>
      <c r="B50" s="2"/>
      <c r="C50" s="2"/>
      <c r="D50" s="2"/>
      <c r="E50" s="2"/>
      <c r="F50" s="72" t="s">
        <v>168</v>
      </c>
      <c r="G50" s="73" t="n">
        <f aca="false">SUMPRODUCT((Operaciones!$K$5:$K$504=$F50)*(Operaciones!$G$5:$G$504&lt;&gt;""))</f>
        <v>0</v>
      </c>
      <c r="H50" s="40" t="n">
        <f aca="false">SUMIF(Operaciones!$K$5:$K$504,$F50,Operaciones!$G$5:$G$504)</f>
        <v>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56" t="n">
        <f aca="true">TODAY()-14</f>
        <v>46275</v>
      </c>
      <c r="AC50" s="57" t="n">
        <f aca="false">'Empieza aquí'!$D$8+SUMIFS(Operaciones!$G$5:$G$504,Operaciones!$B$5:$B$504,"&lt;="&amp;$AB50)</f>
        <v>50000</v>
      </c>
      <c r="AD50" s="3"/>
      <c r="AE50" s="3"/>
      <c r="AF50" s="3"/>
      <c r="AG50" s="3"/>
      <c r="AH50" s="3"/>
      <c r="AI50" s="3"/>
      <c r="AJ50" s="3"/>
    </row>
    <row r="51" customFormat="false" ht="15" hidden="false" customHeight="true" outlineLevel="0" collapsed="fals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3"/>
      <c r="T51" s="3"/>
      <c r="U51" s="3"/>
      <c r="V51" s="3"/>
      <c r="W51" s="3"/>
      <c r="X51" s="3"/>
      <c r="Y51" s="3"/>
      <c r="Z51" s="3"/>
      <c r="AA51" s="3"/>
      <c r="AB51" s="56" t="n">
        <f aca="true">TODAY()-13</f>
        <v>46276</v>
      </c>
      <c r="AC51" s="57" t="n">
        <f aca="false">'Empieza aquí'!$D$8+SUMIFS(Operaciones!$G$5:$G$504,Operaciones!$B$5:$B$504,"&lt;="&amp;$AB51)</f>
        <v>50000</v>
      </c>
      <c r="AD51" s="3"/>
      <c r="AE51" s="3"/>
      <c r="AF51" s="3"/>
      <c r="AG51" s="3"/>
      <c r="AH51" s="3"/>
      <c r="AI51" s="3"/>
      <c r="AJ51" s="3"/>
    </row>
    <row r="52" customFormat="false" ht="15" hidden="false" customHeight="true" outlineLevel="0" collapsed="fals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3"/>
      <c r="T52" s="3"/>
      <c r="U52" s="3"/>
      <c r="V52" s="3"/>
      <c r="W52" s="3"/>
      <c r="X52" s="3"/>
      <c r="Y52" s="3"/>
      <c r="Z52" s="3"/>
      <c r="AA52" s="3"/>
      <c r="AB52" s="56" t="n">
        <f aca="true">TODAY()-12</f>
        <v>46277</v>
      </c>
      <c r="AC52" s="57" t="n">
        <f aca="false">'Empieza aquí'!$D$8+SUMIFS(Operaciones!$G$5:$G$504,Operaciones!$B$5:$B$504,"&lt;="&amp;$AB52)</f>
        <v>50000</v>
      </c>
      <c r="AD52" s="3"/>
      <c r="AE52" s="3"/>
      <c r="AF52" s="3"/>
      <c r="AG52" s="3"/>
      <c r="AH52" s="3"/>
      <c r="AI52" s="3"/>
      <c r="AJ52" s="3"/>
    </row>
    <row r="53" customFormat="false" ht="15" hidden="false" customHeight="true" outlineLevel="0" collapsed="fals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3"/>
      <c r="T53" s="3"/>
      <c r="U53" s="3"/>
      <c r="V53" s="3"/>
      <c r="W53" s="3"/>
      <c r="X53" s="3"/>
      <c r="Y53" s="3"/>
      <c r="Z53" s="3"/>
      <c r="AA53" s="3"/>
      <c r="AB53" s="56" t="n">
        <f aca="true">TODAY()-11</f>
        <v>46278</v>
      </c>
      <c r="AC53" s="57" t="n">
        <f aca="false">'Empieza aquí'!$D$8+SUMIFS(Operaciones!$G$5:$G$504,Operaciones!$B$5:$B$504,"&lt;="&amp;$AB53)</f>
        <v>50000</v>
      </c>
      <c r="AD53" s="3"/>
      <c r="AE53" s="3"/>
      <c r="AF53" s="3"/>
      <c r="AG53" s="3"/>
      <c r="AH53" s="3"/>
      <c r="AI53" s="3"/>
      <c r="AJ53" s="3"/>
    </row>
    <row r="54" customFormat="false" ht="15" hidden="false" customHeight="true" outlineLevel="0" collapsed="fals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3"/>
      <c r="T54" s="3"/>
      <c r="U54" s="3"/>
      <c r="V54" s="3"/>
      <c r="W54" s="3"/>
      <c r="X54" s="3"/>
      <c r="Y54" s="3"/>
      <c r="Z54" s="3"/>
      <c r="AA54" s="3"/>
      <c r="AB54" s="56" t="n">
        <f aca="true">TODAY()-10</f>
        <v>46279</v>
      </c>
      <c r="AC54" s="57" t="n">
        <f aca="false">'Empieza aquí'!$D$8+SUMIFS(Operaciones!$G$5:$G$504,Operaciones!$B$5:$B$504,"&lt;="&amp;$AB54)</f>
        <v>50000</v>
      </c>
      <c r="AD54" s="3"/>
      <c r="AE54" s="3"/>
      <c r="AF54" s="3"/>
      <c r="AG54" s="3"/>
      <c r="AH54" s="3"/>
      <c r="AI54" s="3"/>
      <c r="AJ54" s="3"/>
    </row>
    <row r="55" customFormat="false" ht="15" hidden="false" customHeight="true" outlineLevel="0" collapsed="fals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3"/>
      <c r="T55" s="3"/>
      <c r="U55" s="3"/>
      <c r="V55" s="3"/>
      <c r="W55" s="3"/>
      <c r="X55" s="3"/>
      <c r="Y55" s="3"/>
      <c r="Z55" s="3"/>
      <c r="AA55" s="3"/>
      <c r="AB55" s="56" t="n">
        <f aca="true">TODAY()-9</f>
        <v>46280</v>
      </c>
      <c r="AC55" s="57" t="n">
        <f aca="false">'Empieza aquí'!$D$8+SUMIFS(Operaciones!$G$5:$G$504,Operaciones!$B$5:$B$504,"&lt;="&amp;$AB55)</f>
        <v>50000</v>
      </c>
      <c r="AD55" s="3"/>
      <c r="AE55" s="3"/>
      <c r="AF55" s="3"/>
      <c r="AG55" s="3"/>
      <c r="AH55" s="3"/>
      <c r="AI55" s="3"/>
      <c r="AJ55" s="3"/>
    </row>
    <row r="56" customFormat="false" ht="15" hidden="false" customHeight="true" outlineLevel="0" collapsed="fals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3"/>
      <c r="T56" s="3"/>
      <c r="U56" s="3"/>
      <c r="V56" s="3"/>
      <c r="W56" s="3"/>
      <c r="X56" s="3"/>
      <c r="Y56" s="3"/>
      <c r="Z56" s="3"/>
      <c r="AA56" s="3"/>
      <c r="AB56" s="56" t="n">
        <f aca="true">TODAY()-8</f>
        <v>46281</v>
      </c>
      <c r="AC56" s="57" t="n">
        <f aca="false">'Empieza aquí'!$D$8+SUMIFS(Operaciones!$G$5:$G$504,Operaciones!$B$5:$B$504,"&lt;="&amp;$AB56)</f>
        <v>50000</v>
      </c>
      <c r="AD56" s="3"/>
      <c r="AE56" s="3"/>
      <c r="AF56" s="3"/>
      <c r="AG56" s="3"/>
      <c r="AH56" s="3"/>
      <c r="AI56" s="3"/>
      <c r="AJ56" s="3"/>
    </row>
    <row r="57" customFormat="false" ht="15" hidden="false" customHeight="true" outlineLevel="0" collapsed="fals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3"/>
      <c r="T57" s="3"/>
      <c r="U57" s="3"/>
      <c r="V57" s="3"/>
      <c r="W57" s="3"/>
      <c r="X57" s="3"/>
      <c r="Y57" s="3"/>
      <c r="Z57" s="3"/>
      <c r="AA57" s="3"/>
      <c r="AB57" s="56" t="n">
        <f aca="true">TODAY()-7</f>
        <v>46282</v>
      </c>
      <c r="AC57" s="57" t="n">
        <f aca="false">'Empieza aquí'!$D$8+SUMIFS(Operaciones!$G$5:$G$504,Operaciones!$B$5:$B$504,"&lt;="&amp;$AB57)</f>
        <v>50000</v>
      </c>
      <c r="AD57" s="3"/>
      <c r="AE57" s="3"/>
      <c r="AF57" s="3"/>
      <c r="AG57" s="3"/>
      <c r="AH57" s="3"/>
      <c r="AI57" s="3"/>
      <c r="AJ57" s="3"/>
    </row>
    <row r="58" customFormat="false" ht="15" hidden="false" customHeight="true" outlineLevel="0" collapsed="fals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3"/>
      <c r="T58" s="3"/>
      <c r="U58" s="3"/>
      <c r="V58" s="3"/>
      <c r="W58" s="3"/>
      <c r="X58" s="3"/>
      <c r="Y58" s="3"/>
      <c r="Z58" s="3"/>
      <c r="AA58" s="3"/>
      <c r="AB58" s="56" t="n">
        <f aca="true">TODAY()-6</f>
        <v>46283</v>
      </c>
      <c r="AC58" s="57" t="n">
        <f aca="false">'Empieza aquí'!$D$8+SUMIFS(Operaciones!$G$5:$G$504,Operaciones!$B$5:$B$504,"&lt;="&amp;$AB58)</f>
        <v>50000</v>
      </c>
      <c r="AD58" s="3"/>
      <c r="AE58" s="3"/>
      <c r="AF58" s="3"/>
      <c r="AG58" s="3"/>
      <c r="AH58" s="3"/>
      <c r="AI58" s="3"/>
      <c r="AJ58" s="3"/>
    </row>
    <row r="59" customFormat="false" ht="15" hidden="false" customHeight="true" outlineLevel="0" collapsed="fals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3"/>
      <c r="T59" s="3"/>
      <c r="U59" s="3"/>
      <c r="V59" s="3"/>
      <c r="W59" s="3"/>
      <c r="X59" s="3"/>
      <c r="Y59" s="3"/>
      <c r="Z59" s="3"/>
      <c r="AA59" s="3"/>
      <c r="AB59" s="56" t="n">
        <f aca="true">TODAY()-5</f>
        <v>46284</v>
      </c>
      <c r="AC59" s="57" t="n">
        <f aca="false">'Empieza aquí'!$D$8+SUMIFS(Operaciones!$G$5:$G$504,Operaciones!$B$5:$B$504,"&lt;="&amp;$AB59)</f>
        <v>50000</v>
      </c>
      <c r="AD59" s="3"/>
      <c r="AE59" s="3"/>
      <c r="AF59" s="3"/>
      <c r="AG59" s="3"/>
      <c r="AH59" s="3"/>
      <c r="AI59" s="3"/>
      <c r="AJ59" s="3"/>
    </row>
    <row r="60" customFormat="false" ht="15" hidden="false" customHeight="true" outlineLevel="0" collapsed="fals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8" t="s">
        <v>91</v>
      </c>
      <c r="S60" s="8" t="n">
        <f aca="false">COUNTIF(Operaciones!$G$5:$G$504,"&gt;0")</f>
        <v>0</v>
      </c>
      <c r="T60" s="3"/>
      <c r="U60" s="3"/>
      <c r="V60" s="3"/>
      <c r="W60" s="3"/>
      <c r="X60" s="3"/>
      <c r="Y60" s="3"/>
      <c r="Z60" s="3"/>
      <c r="AA60" s="3"/>
      <c r="AB60" s="56" t="n">
        <f aca="true">TODAY()-4</f>
        <v>46285</v>
      </c>
      <c r="AC60" s="57" t="n">
        <f aca="false">'Empieza aquí'!$D$8+SUMIFS(Operaciones!$G$5:$G$504,Operaciones!$B$5:$B$504,"&lt;="&amp;$AB60)</f>
        <v>50000</v>
      </c>
      <c r="AD60" s="3"/>
      <c r="AE60" s="3"/>
      <c r="AF60" s="3"/>
      <c r="AG60" s="3"/>
      <c r="AH60" s="3"/>
      <c r="AI60" s="3"/>
      <c r="AJ60" s="3"/>
    </row>
    <row r="61" customFormat="false" ht="15" hidden="false" customHeight="true" outlineLevel="0" collapsed="fals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8" t="s">
        <v>94</v>
      </c>
      <c r="S61" s="8" t="n">
        <f aca="false">COUNTIF(Operaciones!$G$5:$G$504,"&lt;0")</f>
        <v>0</v>
      </c>
      <c r="T61" s="3"/>
      <c r="U61" s="3"/>
      <c r="V61" s="3"/>
      <c r="W61" s="3"/>
      <c r="X61" s="3"/>
      <c r="Y61" s="3"/>
      <c r="Z61" s="3"/>
      <c r="AA61" s="3"/>
      <c r="AB61" s="56" t="n">
        <f aca="true">TODAY()-3</f>
        <v>46286</v>
      </c>
      <c r="AC61" s="57" t="n">
        <f aca="false">'Empieza aquí'!$D$8+SUMIFS(Operaciones!$G$5:$G$504,Operaciones!$B$5:$B$504,"&lt;="&amp;$AB61)</f>
        <v>50000</v>
      </c>
      <c r="AD61" s="3"/>
      <c r="AE61" s="3"/>
      <c r="AF61" s="3"/>
      <c r="AG61" s="3"/>
      <c r="AH61" s="3"/>
      <c r="AI61" s="3"/>
      <c r="AJ61" s="3"/>
    </row>
    <row r="62" customFormat="false" ht="15" hidden="false" customHeight="true" outlineLevel="0" collapsed="fals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3"/>
      <c r="T62" s="3"/>
      <c r="U62" s="3"/>
      <c r="V62" s="3"/>
      <c r="W62" s="3"/>
      <c r="X62" s="3"/>
      <c r="Y62" s="3"/>
      <c r="Z62" s="3"/>
      <c r="AA62" s="3"/>
      <c r="AB62" s="56" t="n">
        <f aca="true">TODAY()-2</f>
        <v>46287</v>
      </c>
      <c r="AC62" s="57" t="n">
        <f aca="false">'Empieza aquí'!$D$8+SUMIFS(Operaciones!$G$5:$G$504,Operaciones!$B$5:$B$504,"&lt;="&amp;$AB62)</f>
        <v>50000</v>
      </c>
      <c r="AD62" s="3"/>
      <c r="AE62" s="3"/>
      <c r="AF62" s="3"/>
      <c r="AG62" s="3"/>
      <c r="AH62" s="3"/>
      <c r="AI62" s="3"/>
      <c r="AJ62" s="3"/>
    </row>
    <row r="63" customFormat="false" ht="15" hidden="false" customHeight="true" outlineLevel="0" collapsed="fals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3"/>
      <c r="T63" s="3"/>
      <c r="U63" s="3"/>
      <c r="V63" s="3"/>
      <c r="W63" s="3"/>
      <c r="X63" s="3"/>
      <c r="Y63" s="3"/>
      <c r="Z63" s="3"/>
      <c r="AA63" s="3"/>
      <c r="AB63" s="56" t="n">
        <f aca="true">TODAY()-1</f>
        <v>46288</v>
      </c>
      <c r="AC63" s="57" t="n">
        <f aca="false">'Empieza aquí'!$D$8+SUMIFS(Operaciones!$G$5:$G$504,Operaciones!$B$5:$B$504,"&lt;="&amp;$AB63)</f>
        <v>50000</v>
      </c>
      <c r="AD63" s="3"/>
      <c r="AE63" s="3"/>
      <c r="AF63" s="3"/>
      <c r="AG63" s="3"/>
      <c r="AH63" s="3"/>
      <c r="AI63" s="3"/>
      <c r="AJ63" s="3"/>
    </row>
    <row r="64" customFormat="false" ht="15" hidden="false" customHeight="true" outlineLevel="0" collapsed="false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3"/>
      <c r="T64" s="3"/>
      <c r="U64" s="3"/>
      <c r="V64" s="3"/>
      <c r="W64" s="3"/>
      <c r="X64" s="3"/>
      <c r="Y64" s="3"/>
      <c r="Z64" s="3"/>
      <c r="AA64" s="3"/>
      <c r="AB64" s="56" t="n">
        <f aca="true">TODAY()-0</f>
        <v>46289</v>
      </c>
      <c r="AC64" s="57" t="n">
        <f aca="false">'Empieza aquí'!$D$8+SUMIFS(Operaciones!$G$5:$G$504,Operaciones!$B$5:$B$504,"&lt;="&amp;$AB64)</f>
        <v>50000</v>
      </c>
      <c r="AD64" s="3"/>
      <c r="AE64" s="3"/>
      <c r="AF64" s="3"/>
      <c r="AG64" s="3"/>
      <c r="AH64" s="3"/>
      <c r="AI64" s="3"/>
      <c r="AJ64" s="3"/>
    </row>
    <row r="65" customFormat="false" ht="15" hidden="false" customHeight="true" outlineLevel="0" collapsed="false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</row>
    <row r="66" customFormat="false" ht="15" hidden="false" customHeight="true" outlineLevel="0" collapsed="false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customFormat="false" ht="15" hidden="false" customHeight="true" outlineLevel="0" collapsed="false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customFormat="false" ht="15" hidden="false" customHeight="true" outlineLevel="0" collapsed="false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customFormat="false" ht="15" hidden="false" customHeight="true" outlineLevel="0" collapsed="fals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</row>
    <row r="70" customFormat="false" ht="15" hidden="false" customHeight="true" outlineLevel="0" collapsed="false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customFormat="false" ht="15" hidden="false" customHeight="true" outlineLevel="0" collapsed="false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customFormat="false" ht="15" hidden="false" customHeight="true" outlineLevel="0" collapsed="false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customFormat="false" ht="15" hidden="false" customHeight="true" outlineLevel="0" collapsed="false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customFormat="false" ht="15" hidden="false" customHeight="true" outlineLevel="0" collapsed="false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customFormat="false" ht="15" hidden="false" customHeight="true" outlineLevel="0" collapsed="false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customFormat="false" ht="15" hidden="false" customHeight="true" outlineLevel="0" collapsed="false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customFormat="false" ht="15" hidden="false" customHeight="true" outlineLevel="0" collapsed="false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customFormat="false" ht="15" hidden="false" customHeight="true" outlineLevel="0" collapsed="false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customFormat="false" ht="15" hidden="false" customHeight="true" outlineLevel="0" collapsed="false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customFormat="false" ht="15" hidden="false" customHeight="true" outlineLevel="0" collapsed="false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customFormat="false" ht="15" hidden="false" customHeight="true" outlineLevel="0" collapsed="fals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customFormat="false" ht="15" hidden="false" customHeight="true" outlineLevel="0" collapsed="fals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customFormat="false" ht="15" hidden="false" customHeight="true" outlineLevel="0" collapsed="fals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customFormat="false" ht="15" hidden="false" customHeight="true" outlineLevel="0" collapsed="fals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customFormat="false" ht="15" hidden="false" customHeight="true" outlineLevel="0" collapsed="fals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customFormat="false" ht="15" hidden="false" customHeight="true" outlineLevel="0" collapsed="fals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customFormat="false" ht="15" hidden="false" customHeight="true" outlineLevel="0" collapsed="fals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customFormat="false" ht="15" hidden="false" customHeight="true" outlineLevel="0" collapsed="fals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customFormat="false" ht="15" hidden="false" customHeight="true" outlineLevel="0" collapsed="fals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customFormat="false" ht="15" hidden="false" customHeight="true" outlineLevel="0" collapsed="fals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customFormat="false" ht="15" hidden="false" customHeight="true" outlineLevel="0" collapsed="fals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customFormat="false" ht="15" hidden="false" customHeight="true" outlineLevel="0" collapsed="fals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customFormat="false" ht="15" hidden="false" customHeight="true" outlineLevel="0" collapsed="fals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customFormat="false" ht="15" hidden="false" customHeight="true" outlineLevel="0" collapsed="fals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customFormat="false" ht="15" hidden="false" customHeight="true" outlineLevel="0" collapsed="fals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customFormat="false" ht="15" hidden="false" customHeight="true" outlineLevel="0" collapsed="fals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customFormat="false" ht="15" hidden="false" customHeight="true" outlineLevel="0" collapsed="fals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customFormat="false" ht="15" hidden="false" customHeight="true" outlineLevel="0" collapsed="fals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customFormat="false" ht="15" hidden="false" customHeight="true" outlineLevel="0" collapsed="fals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customFormat="false" ht="15" hidden="false" customHeight="true" outlineLevel="0" collapsed="fals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customFormat="false" ht="15" hidden="false" customHeight="true" outlineLevel="0" collapsed="fals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customFormat="false" ht="15" hidden="false" customHeight="true" outlineLevel="0" collapsed="fals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customFormat="false" ht="15" hidden="false" customHeight="true" outlineLevel="0" collapsed="fals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customFormat="false" ht="15" hidden="false" customHeight="true" outlineLevel="0" collapsed="fals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customFormat="false" ht="15" hidden="false" customHeight="true" outlineLevel="0" collapsed="fals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customFormat="false" ht="15" hidden="false" customHeight="true" outlineLevel="0" collapsed="fals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customFormat="false" ht="15" hidden="false" customHeight="true" outlineLevel="0" collapsed="fals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customFormat="false" ht="15" hidden="false" customHeight="true" outlineLevel="0" collapsed="fals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customFormat="false" ht="15" hidden="false" customHeight="true" outlineLevel="0" collapsed="fals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customFormat="false" ht="15" hidden="false" customHeight="true" outlineLevel="0" collapsed="fals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customFormat="false" ht="15" hidden="false" customHeight="true" outlineLevel="0" collapsed="fals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customFormat="false" ht="15" hidden="false" customHeight="true" outlineLevel="0" collapsed="fals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customFormat="false" ht="15" hidden="false" customHeight="true" outlineLevel="0" collapsed="fals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customFormat="false" ht="15" hidden="false" customHeight="true" outlineLevel="0" collapsed="fals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customFormat="false" ht="15" hidden="false" customHeight="true" outlineLevel="0" collapsed="fals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customFormat="false" ht="15" hidden="false" customHeight="true" outlineLevel="0" collapsed="false">
      <c r="A116" s="2"/>
      <c r="B116" s="32" t="s">
        <v>76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customFormat="false" ht="15" hidden="false" customHeight="true" outlineLevel="0" collapsed="false">
      <c r="A117" s="2"/>
      <c r="B117" s="30" t="s">
        <v>77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customFormat="false" ht="15" hidden="false" customHeight="true" outlineLevel="0" collapsed="fals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customFormat="false" ht="15" hidden="false" customHeight="true" outlineLevel="0" collapsed="fals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customFormat="false" ht="15" hidden="false" customHeight="true" outlineLevel="0" collapsed="fals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customFormat="false" ht="15" hidden="false" customHeight="true" outlineLevel="0" collapsed="fals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customFormat="false" ht="15" hidden="false" customHeight="true" outlineLevel="0" collapsed="fals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customFormat="false" ht="15" hidden="false" customHeight="true" outlineLevel="0" collapsed="fals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customFormat="false" ht="15" hidden="false" customHeight="true" outlineLevel="0" collapsed="fals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customFormat="false" ht="15" hidden="false" customHeight="true" outlineLevel="0" collapsed="fals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customFormat="false" ht="15" hidden="false" customHeight="true" outlineLevel="0" collapsed="fals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customFormat="false" ht="15" hidden="false" customHeight="true" outlineLevel="0" collapsed="fals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customFormat="false" ht="15" hidden="false" customHeight="true" outlineLevel="0" collapsed="fals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customFormat="false" ht="15" hidden="false" customHeight="true" outlineLevel="0" collapsed="fals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customFormat="false" ht="15" hidden="false" customHeight="tru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</sheetData>
  <mergeCells count="30">
    <mergeCell ref="B6:D6"/>
    <mergeCell ref="E6:G6"/>
    <mergeCell ref="H6:J6"/>
    <mergeCell ref="K6:M6"/>
    <mergeCell ref="N6:P6"/>
    <mergeCell ref="B7:D7"/>
    <mergeCell ref="E7:G7"/>
    <mergeCell ref="H7:J7"/>
    <mergeCell ref="K7:M7"/>
    <mergeCell ref="N7:P7"/>
    <mergeCell ref="B11:E11"/>
    <mergeCell ref="H11:K11"/>
    <mergeCell ref="N11:Q11"/>
    <mergeCell ref="B12:E12"/>
    <mergeCell ref="H12:K12"/>
    <mergeCell ref="N12:Q12"/>
    <mergeCell ref="B13:E13"/>
    <mergeCell ref="H13:K13"/>
    <mergeCell ref="N13:Q13"/>
    <mergeCell ref="B14:E14"/>
    <mergeCell ref="H14:K14"/>
    <mergeCell ref="N14:Q14"/>
    <mergeCell ref="B15:E15"/>
    <mergeCell ref="H15:K15"/>
    <mergeCell ref="N15:Q15"/>
    <mergeCell ref="B16:E16"/>
    <mergeCell ref="H16:K16"/>
    <mergeCell ref="B17:E17"/>
    <mergeCell ref="B18:E18"/>
    <mergeCell ref="B19:E19"/>
  </mergeCells>
  <conditionalFormatting sqref="D27:D31">
    <cfRule type="expression" priority="2" aboveAverage="0" equalAverage="0" bottom="0" percent="0" rank="0" text="" dxfId="9">
      <formula>AND($D27&lt;&gt;"",$D27&gt;0)</formula>
    </cfRule>
    <cfRule type="expression" priority="3" aboveAverage="0" equalAverage="0" bottom="0" percent="0" rank="0" text="" dxfId="10">
      <formula>AND($D27&lt;&gt;"",$D27&lt;0)</formula>
    </cfRule>
  </conditionalFormatting>
  <conditionalFormatting sqref="H27:H50">
    <cfRule type="expression" priority="4" aboveAverage="0" equalAverage="0" bottom="0" percent="0" rank="0" text="" dxfId="9">
      <formula>AND($H27&lt;&gt;"",$H27&gt;0)</formula>
    </cfRule>
    <cfRule type="expression" priority="5" aboveAverage="0" equalAverage="0" bottom="0" percent="0" rank="0" text="" dxfId="10">
      <formula>AND($H27&lt;&gt;"",$H27&lt;0)</formula>
    </cfRule>
  </conditionalFormatting>
  <conditionalFormatting sqref="L27:L41">
    <cfRule type="expression" priority="6" aboveAverage="0" equalAverage="0" bottom="0" percent="0" rank="0" text="" dxfId="9">
      <formula>AND($L27&lt;&gt;"",$L27&gt;0)</formula>
    </cfRule>
    <cfRule type="expression" priority="7" aboveAverage="0" equalAverage="0" bottom="0" percent="0" rank="0" text="" dxfId="10">
      <formula>AND($L27&lt;&gt;"",$L27&lt;0)</formula>
    </cfRule>
  </conditionalFormatting>
  <conditionalFormatting sqref="P27:P32">
    <cfRule type="expression" priority="8" aboveAverage="0" equalAverage="0" bottom="0" percent="0" rank="0" text="" dxfId="9">
      <formula>AND($P27&lt;&gt;"",$P27&gt;0)</formula>
    </cfRule>
    <cfRule type="expression" priority="9" aboveAverage="0" equalAverage="0" bottom="0" percent="0" rank="0" text="" dxfId="10">
      <formula>AND($P27&lt;&gt;"",$P27&lt;0)</formula>
    </cfRule>
  </conditionalFormatting>
  <conditionalFormatting sqref="B7:D7">
    <cfRule type="expression" priority="10" aboveAverage="0" equalAverage="0" bottom="0" percent="0" rank="0" text="" dxfId="9">
      <formula>$B$7&gt;0</formula>
    </cfRule>
    <cfRule type="expression" priority="11" aboveAverage="0" equalAverage="0" bottom="0" percent="0" rank="0" text="" dxfId="10">
      <formula>$B$7&lt;0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2D87"/>
    <pageSetUpPr fitToPage="false"/>
  </sheetPr>
  <dimension ref="A1:AH7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14"/>
    <col collapsed="false" customWidth="true" hidden="false" outlineLevel="0" max="3" min="3" style="1" width="30"/>
    <col collapsed="false" customWidth="true" hidden="false" outlineLevel="0" max="8" min="4" style="1" width="14"/>
    <col collapsed="false" customWidth="true" hidden="false" outlineLevel="0" max="9" min="9" style="1" width="30"/>
    <col collapsed="false" customWidth="true" hidden="false" outlineLevel="0" max="16" min="10" style="1" width="14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customFormat="false" ht="31.5" hidden="false" customHeight="true" outlineLevel="0" collapsed="false">
      <c r="A2" s="2"/>
      <c r="B2" s="4" t="s">
        <v>0</v>
      </c>
      <c r="C2" s="5" t="s">
        <v>169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customFormat="false" ht="15" hidden="false" customHeight="true" outlineLevel="0" collapsed="false">
      <c r="A3" s="2"/>
      <c r="B3" s="2"/>
      <c r="C3" s="6" t="s">
        <v>170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customFormat="false" ht="15" hidden="false" customHeight="tru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customFormat="false" ht="15" hidden="false" customHeight="tru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customFormat="false" ht="15" hidden="false" customHeight="true" outlineLevel="0" collapsed="false">
      <c r="A6" s="2"/>
      <c r="B6" s="2"/>
      <c r="C6" s="74" t="s">
        <v>171</v>
      </c>
      <c r="D6" s="2"/>
      <c r="E6" s="2"/>
      <c r="F6" s="2"/>
      <c r="G6" s="2"/>
      <c r="H6" s="2"/>
      <c r="I6" s="74" t="s">
        <v>172</v>
      </c>
      <c r="J6" s="2"/>
      <c r="K6" s="2"/>
      <c r="L6" s="2"/>
      <c r="M6" s="2"/>
      <c r="N6" s="2"/>
      <c r="O6" s="2"/>
      <c r="P6" s="2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customFormat="false" ht="24" hidden="false" customHeight="true" outlineLevel="0" collapsed="false">
      <c r="A7" s="2"/>
      <c r="B7" s="2"/>
      <c r="C7" s="75" t="s">
        <v>173</v>
      </c>
      <c r="D7" s="76" t="n">
        <f aca="true">TODAY()</f>
        <v>46289</v>
      </c>
      <c r="E7" s="76"/>
      <c r="F7" s="76"/>
      <c r="G7" s="2"/>
      <c r="H7" s="2"/>
      <c r="I7" s="75" t="s">
        <v>174</v>
      </c>
      <c r="J7" s="77" t="n">
        <f aca="false">'Empieza aquí'!$D$8+SUM(Operaciones!$G$5:$G$504)</f>
        <v>50000</v>
      </c>
      <c r="K7" s="77"/>
      <c r="L7" s="77"/>
      <c r="M7" s="2"/>
      <c r="N7" s="2"/>
      <c r="O7" s="2"/>
      <c r="P7" s="2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customFormat="false" ht="24" hidden="false" customHeight="true" outlineLevel="0" collapsed="false">
      <c r="A8" s="2"/>
      <c r="B8" s="2"/>
      <c r="C8" s="75" t="s">
        <v>175</v>
      </c>
      <c r="D8" s="78" t="n">
        <f aca="true">SUMPRODUCT((Operaciones!$B$5:$B$504=TODAY())*(Operaciones!$G$5:$G$504&lt;&gt;""))</f>
        <v>0</v>
      </c>
      <c r="E8" s="78"/>
      <c r="F8" s="78"/>
      <c r="G8" s="2"/>
      <c r="H8" s="2"/>
      <c r="I8" s="75" t="s">
        <v>107</v>
      </c>
      <c r="J8" s="79" t="n">
        <f aca="false">IFERROR(MAX(MAX(Operaciones!$V$5:$V$504),'Empieza aquí'!$D$8),'Empieza aquí'!$D$8)</f>
        <v>50000</v>
      </c>
      <c r="K8" s="79"/>
      <c r="L8" s="79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customFormat="false" ht="24" hidden="false" customHeight="true" outlineLevel="0" collapsed="false">
      <c r="A9" s="2"/>
      <c r="B9" s="2"/>
      <c r="C9" s="75" t="s">
        <v>176</v>
      </c>
      <c r="D9" s="80" t="n">
        <f aca="true">SUMIF(Operaciones!$B$5:$B$504,TODAY(),Operaciones!$G$5:$G$504)</f>
        <v>0</v>
      </c>
      <c r="E9" s="80"/>
      <c r="F9" s="80"/>
      <c r="G9" s="2"/>
      <c r="H9" s="2"/>
      <c r="I9" s="75" t="s">
        <v>104</v>
      </c>
      <c r="J9" s="81" t="n">
        <f aca="false">IFERROR(MIN(MIN(Operaciones!$X$5:$X$504),0),0)</f>
        <v>0</v>
      </c>
      <c r="K9" s="81"/>
      <c r="L9" s="81"/>
      <c r="M9" s="2"/>
      <c r="N9" s="2"/>
      <c r="O9" s="2"/>
      <c r="P9" s="2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customFormat="false" ht="24" hidden="false" customHeight="true" outlineLevel="0" collapsed="false">
      <c r="A10" s="2"/>
      <c r="B10" s="2"/>
      <c r="C10" s="75" t="s">
        <v>7</v>
      </c>
      <c r="D10" s="79" t="n">
        <f aca="false">'Empieza aquí'!$D$9</f>
        <v>1000</v>
      </c>
      <c r="E10" s="79"/>
      <c r="F10" s="79"/>
      <c r="G10" s="2"/>
      <c r="H10" s="2"/>
      <c r="I10" s="75" t="s">
        <v>9</v>
      </c>
      <c r="J10" s="79" t="n">
        <f aca="false">'Empieza aquí'!$D$10</f>
        <v>2000</v>
      </c>
      <c r="K10" s="79"/>
      <c r="L10" s="79"/>
      <c r="M10" s="2"/>
      <c r="N10" s="2"/>
      <c r="O10" s="2"/>
      <c r="P10" s="2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customFormat="false" ht="24" hidden="false" customHeight="true" outlineLevel="0" collapsed="false">
      <c r="A11" s="2"/>
      <c r="B11" s="2"/>
      <c r="C11" s="75" t="s">
        <v>177</v>
      </c>
      <c r="D11" s="82" t="n">
        <f aca="true">IF('Empieza aquí'!$D$9=0,"",MAX(0,'Empieza aquí'!$D$9+MIN(0,SUMIF(Operaciones!$B$5:$B$504,TODAY(),Operaciones!$G$5:$G$504))))</f>
        <v>1000</v>
      </c>
      <c r="E11" s="82"/>
      <c r="F11" s="82"/>
      <c r="G11" s="2"/>
      <c r="H11" s="2"/>
      <c r="I11" s="75" t="s">
        <v>178</v>
      </c>
      <c r="J11" s="82" t="n">
        <f aca="false">IF('Empieza aquí'!$D$10=0,"",MAX(0,'Empieza aquí'!$D$10+IFERROR(MIN(MIN(Operaciones!$X$5:$X$504),0),0)))</f>
        <v>2000</v>
      </c>
      <c r="K11" s="82"/>
      <c r="L11" s="82"/>
      <c r="M11" s="2"/>
      <c r="N11" s="2"/>
      <c r="O11" s="2"/>
      <c r="P11" s="2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customFormat="false" ht="24" hidden="false" customHeight="true" outlineLevel="0" collapsed="false">
      <c r="A12" s="2"/>
      <c r="B12" s="2"/>
      <c r="C12" s="75" t="s">
        <v>179</v>
      </c>
      <c r="D12" s="83" t="n">
        <f aca="true">IF('Empieza aquí'!$D$9=0,"",MAX(0,-MIN(0,SUMIF(Operaciones!$B$5:$B$504,TODAY(),Operaciones!$G$5:$G$504)))/'Empieza aquí'!$D$9)</f>
        <v>-0</v>
      </c>
      <c r="E12" s="83"/>
      <c r="F12" s="83"/>
      <c r="G12" s="2"/>
      <c r="H12" s="2"/>
      <c r="I12" s="75" t="s">
        <v>180</v>
      </c>
      <c r="J12" s="83" t="n">
        <f aca="false">IF('Empieza aquí'!$D$10=0,"",-IFERROR(MIN(MIN(Operaciones!$X$5:$X$504),0),0)/'Empieza aquí'!$D$10)</f>
        <v>-0</v>
      </c>
      <c r="K12" s="83"/>
      <c r="L12" s="83"/>
      <c r="M12" s="2"/>
      <c r="N12" s="2"/>
      <c r="O12" s="2"/>
      <c r="P12" s="2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customFormat="false" ht="24" hidden="false" customHeight="true" outlineLevel="0" collapsed="false">
      <c r="A13" s="2"/>
      <c r="B13" s="2"/>
      <c r="C13" s="75" t="s">
        <v>181</v>
      </c>
      <c r="D13" s="84" t="str">
        <f aca="true">IF('Empieza aquí'!$D$9=0,"Sin límite definido",IF(SUMIF(Operaciones!$B$5:$B$504,TODAY(),Operaciones!$G$5:$G$504)&gt;=0,"En verde. Día positivo o plano.",IF(-SUMIF(Operaciones!$B$5:$B$504,TODAY(),Operaciones!$G$5:$G$504)&gt;='Empieza aquí'!$D$9,"LÍMITE ALCANZADO. Cierra el día.",IF(-SUMIF(Operaciones!$B$5:$B$504,TODAY(),Operaciones!$G$5:$G$504)&gt;=0.7*'Empieza aquí'!$D$9,"Cuidado. Has consumido más del 70%.","Dentro de rango."))))</f>
        <v>En verde. Día positivo o plano.</v>
      </c>
      <c r="E13" s="84"/>
      <c r="F13" s="84"/>
      <c r="G13" s="2"/>
      <c r="H13" s="2"/>
      <c r="I13" s="75" t="s">
        <v>182</v>
      </c>
      <c r="J13" s="85" t="n">
        <f aca="false">IFERROR(MIN(Operaciones!$X$5:$X$504),0)</f>
        <v>0</v>
      </c>
      <c r="K13" s="85"/>
      <c r="L13" s="85"/>
      <c r="M13" s="2"/>
      <c r="N13" s="2"/>
      <c r="O13" s="2"/>
      <c r="P13" s="2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customFormat="false" ht="1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customFormat="false" ht="1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customFormat="false" ht="15" hidden="false" customHeight="true" outlineLevel="0" collapsed="false">
      <c r="A16" s="2"/>
      <c r="B16" s="2"/>
      <c r="C16" s="74" t="s">
        <v>183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customFormat="false" ht="15" hidden="false" customHeight="true" outlineLevel="0" collapsed="false">
      <c r="A17" s="2"/>
      <c r="B17" s="2"/>
      <c r="C17" s="35" t="s">
        <v>36</v>
      </c>
      <c r="D17" s="35" t="s">
        <v>118</v>
      </c>
      <c r="E17" s="35" t="s">
        <v>119</v>
      </c>
      <c r="F17" s="35" t="s">
        <v>184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customFormat="false" ht="15" hidden="false" customHeight="true" outlineLevel="0" collapsed="false">
      <c r="A18" s="2"/>
      <c r="B18" s="2"/>
      <c r="C18" s="86" t="n">
        <f aca="true">TODAY()-0</f>
        <v>46289</v>
      </c>
      <c r="D18" s="87" t="n">
        <f aca="false">SUMPRODUCT((Operaciones!$B$5:$B$504=$C18)*(Operaciones!$G$5:$G$504&lt;&gt;""))</f>
        <v>0</v>
      </c>
      <c r="E18" s="40" t="str">
        <f aca="false">IF($D18=0,"",SUMIF(Operaciones!$B$5:$B$504,$C18,Operaciones!$G$5:$G$504))</f>
        <v/>
      </c>
      <c r="F18" s="88" t="str">
        <f aca="false">IF(OR($D18=0,'Empieza aquí'!$D$9=0),"",MAX(0,-MIN(0,$E18))/'Empieza aquí'!$D$9)</f>
        <v/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customFormat="false" ht="15" hidden="false" customHeight="true" outlineLevel="0" collapsed="false">
      <c r="A19" s="2"/>
      <c r="B19" s="2"/>
      <c r="C19" s="86" t="n">
        <f aca="true">TODAY()-1</f>
        <v>46288</v>
      </c>
      <c r="D19" s="87" t="n">
        <f aca="false">SUMPRODUCT((Operaciones!$B$5:$B$504=$C19)*(Operaciones!$G$5:$G$504&lt;&gt;""))</f>
        <v>0</v>
      </c>
      <c r="E19" s="40" t="str">
        <f aca="false">IF($D19=0,"",SUMIF(Operaciones!$B$5:$B$504,$C19,Operaciones!$G$5:$G$504))</f>
        <v/>
      </c>
      <c r="F19" s="88" t="str">
        <f aca="false">IF(OR($D19=0,'Empieza aquí'!$D$9=0),"",MAX(0,-MIN(0,$E19))/'Empieza aquí'!$D$9)</f>
        <v/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customFormat="false" ht="15" hidden="false" customHeight="true" outlineLevel="0" collapsed="false">
      <c r="A20" s="2"/>
      <c r="B20" s="2"/>
      <c r="C20" s="86" t="n">
        <f aca="true">TODAY()-2</f>
        <v>46287</v>
      </c>
      <c r="D20" s="87" t="n">
        <f aca="false">SUMPRODUCT((Operaciones!$B$5:$B$504=$C20)*(Operaciones!$G$5:$G$504&lt;&gt;""))</f>
        <v>0</v>
      </c>
      <c r="E20" s="40" t="str">
        <f aca="false">IF($D20=0,"",SUMIF(Operaciones!$B$5:$B$504,$C20,Operaciones!$G$5:$G$504))</f>
        <v/>
      </c>
      <c r="F20" s="88" t="str">
        <f aca="false">IF(OR($D20=0,'Empieza aquí'!$D$9=0),"",MAX(0,-MIN(0,$E20))/'Empieza aquí'!$D$9)</f>
        <v/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customFormat="false" ht="15" hidden="false" customHeight="true" outlineLevel="0" collapsed="false">
      <c r="A21" s="2"/>
      <c r="B21" s="2"/>
      <c r="C21" s="86" t="n">
        <f aca="true">TODAY()-3</f>
        <v>46286</v>
      </c>
      <c r="D21" s="87" t="n">
        <f aca="false">SUMPRODUCT((Operaciones!$B$5:$B$504=$C21)*(Operaciones!$G$5:$G$504&lt;&gt;""))</f>
        <v>0</v>
      </c>
      <c r="E21" s="40" t="str">
        <f aca="false">IF($D21=0,"",SUMIF(Operaciones!$B$5:$B$504,$C21,Operaciones!$G$5:$G$504))</f>
        <v/>
      </c>
      <c r="F21" s="88" t="str">
        <f aca="false">IF(OR($D21=0,'Empieza aquí'!$D$9=0),"",MAX(0,-MIN(0,$E21))/'Empieza aquí'!$D$9)</f>
        <v/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customFormat="false" ht="15" hidden="false" customHeight="true" outlineLevel="0" collapsed="false">
      <c r="A22" s="2"/>
      <c r="B22" s="2"/>
      <c r="C22" s="86" t="n">
        <f aca="true">TODAY()-4</f>
        <v>46285</v>
      </c>
      <c r="D22" s="87" t="n">
        <f aca="false">SUMPRODUCT((Operaciones!$B$5:$B$504=$C22)*(Operaciones!$G$5:$G$504&lt;&gt;""))</f>
        <v>0</v>
      </c>
      <c r="E22" s="40" t="str">
        <f aca="false">IF($D22=0,"",SUMIF(Operaciones!$B$5:$B$504,$C22,Operaciones!$G$5:$G$504))</f>
        <v/>
      </c>
      <c r="F22" s="88" t="str">
        <f aca="false">IF(OR($D22=0,'Empieza aquí'!$D$9=0),"",MAX(0,-MIN(0,$E22))/'Empieza aquí'!$D$9)</f>
        <v/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customFormat="false" ht="15" hidden="false" customHeight="true" outlineLevel="0" collapsed="false">
      <c r="A23" s="2"/>
      <c r="B23" s="2"/>
      <c r="C23" s="86" t="n">
        <f aca="true">TODAY()-5</f>
        <v>46284</v>
      </c>
      <c r="D23" s="87" t="n">
        <f aca="false">SUMPRODUCT((Operaciones!$B$5:$B$504=$C23)*(Operaciones!$G$5:$G$504&lt;&gt;""))</f>
        <v>0</v>
      </c>
      <c r="E23" s="40" t="str">
        <f aca="false">IF($D23=0,"",SUMIF(Operaciones!$B$5:$B$504,$C23,Operaciones!$G$5:$G$504))</f>
        <v/>
      </c>
      <c r="F23" s="88" t="str">
        <f aca="false">IF(OR($D23=0,'Empieza aquí'!$D$9=0),"",MAX(0,-MIN(0,$E23))/'Empieza aquí'!$D$9)</f>
        <v/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customFormat="false" ht="15" hidden="false" customHeight="true" outlineLevel="0" collapsed="false">
      <c r="A24" s="2"/>
      <c r="B24" s="2"/>
      <c r="C24" s="86" t="n">
        <f aca="true">TODAY()-6</f>
        <v>46283</v>
      </c>
      <c r="D24" s="87" t="n">
        <f aca="false">SUMPRODUCT((Operaciones!$B$5:$B$504=$C24)*(Operaciones!$G$5:$G$504&lt;&gt;""))</f>
        <v>0</v>
      </c>
      <c r="E24" s="40" t="str">
        <f aca="false">IF($D24=0,"",SUMIF(Operaciones!$B$5:$B$504,$C24,Operaciones!$G$5:$G$504))</f>
        <v/>
      </c>
      <c r="F24" s="88" t="str">
        <f aca="false">IF(OR($D24=0,'Empieza aquí'!$D$9=0),"",MAX(0,-MIN(0,$E24))/'Empieza aquí'!$D$9)</f>
        <v/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customFormat="false" ht="15" hidden="false" customHeight="true" outlineLevel="0" collapsed="false">
      <c r="A25" s="2"/>
      <c r="B25" s="2"/>
      <c r="C25" s="86" t="n">
        <f aca="true">TODAY()-7</f>
        <v>46282</v>
      </c>
      <c r="D25" s="87" t="n">
        <f aca="false">SUMPRODUCT((Operaciones!$B$5:$B$504=$C25)*(Operaciones!$G$5:$G$504&lt;&gt;""))</f>
        <v>0</v>
      </c>
      <c r="E25" s="40" t="str">
        <f aca="false">IF($D25=0,"",SUMIF(Operaciones!$B$5:$B$504,$C25,Operaciones!$G$5:$G$504))</f>
        <v/>
      </c>
      <c r="F25" s="88" t="str">
        <f aca="false">IF(OR($D25=0,'Empieza aquí'!$D$9=0),"",MAX(0,-MIN(0,$E25))/'Empieza aquí'!$D$9)</f>
        <v/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customFormat="false" ht="15" hidden="false" customHeight="true" outlineLevel="0" collapsed="false">
      <c r="A26" s="2"/>
      <c r="B26" s="2"/>
      <c r="C26" s="86" t="n">
        <f aca="true">TODAY()-8</f>
        <v>46281</v>
      </c>
      <c r="D26" s="87" t="n">
        <f aca="false">SUMPRODUCT((Operaciones!$B$5:$B$504=$C26)*(Operaciones!$G$5:$G$504&lt;&gt;""))</f>
        <v>0</v>
      </c>
      <c r="E26" s="40" t="str">
        <f aca="false">IF($D26=0,"",SUMIF(Operaciones!$B$5:$B$504,$C26,Operaciones!$G$5:$G$504))</f>
        <v/>
      </c>
      <c r="F26" s="88" t="str">
        <f aca="false">IF(OR($D26=0,'Empieza aquí'!$D$9=0),"",MAX(0,-MIN(0,$E26))/'Empieza aquí'!$D$9)</f>
        <v/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customFormat="false" ht="15" hidden="false" customHeight="true" outlineLevel="0" collapsed="false">
      <c r="A27" s="2"/>
      <c r="B27" s="2"/>
      <c r="C27" s="86" t="n">
        <f aca="true">TODAY()-9</f>
        <v>46280</v>
      </c>
      <c r="D27" s="87" t="n">
        <f aca="false">SUMPRODUCT((Operaciones!$B$5:$B$504=$C27)*(Operaciones!$G$5:$G$504&lt;&gt;""))</f>
        <v>0</v>
      </c>
      <c r="E27" s="40" t="str">
        <f aca="false">IF($D27=0,"",SUMIF(Operaciones!$B$5:$B$504,$C27,Operaciones!$G$5:$G$504))</f>
        <v/>
      </c>
      <c r="F27" s="88" t="str">
        <f aca="false">IF(OR($D27=0,'Empieza aquí'!$D$9=0),"",MAX(0,-MIN(0,$E27))/'Empieza aquí'!$D$9)</f>
        <v/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customFormat="false" ht="15" hidden="false" customHeight="true" outlineLevel="0" collapsed="fals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customFormat="false" ht="15" hidden="false" customHeight="true" outlineLevel="0" collapsed="fals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customFormat="false" ht="15" hidden="false" customHeight="true" outlineLevel="0" collapsed="false">
      <c r="A30" s="2"/>
      <c r="B30" s="2"/>
      <c r="C30" s="89" t="s">
        <v>185</v>
      </c>
      <c r="D30" s="89"/>
      <c r="E30" s="89"/>
      <c r="F30" s="89"/>
      <c r="G30" s="89"/>
      <c r="H30" s="89"/>
      <c r="I30" s="89"/>
      <c r="J30" s="89"/>
      <c r="K30" s="89"/>
      <c r="L30" s="89"/>
      <c r="M30" s="2"/>
      <c r="N30" s="2"/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customFormat="false" ht="15" hidden="false" customHeight="tru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customFormat="false" ht="15" hidden="false" customHeight="tru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customFormat="false" ht="15" hidden="false" customHeight="true" outlineLevel="0" collapsed="fals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customFormat="false" ht="15" hidden="false" customHeight="true" outlineLevel="0" collapsed="false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customFormat="false" ht="15" hidden="false" customHeight="true" outlineLevel="0" collapsed="fals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customFormat="false" ht="15" hidden="false" customHeight="true" outlineLevel="0" collapsed="fals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customFormat="false" ht="15" hidden="false" customHeight="true" outlineLevel="0" collapsed="fals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customFormat="false" ht="15" hidden="false" customHeight="true" outlineLevel="0" collapsed="fals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customFormat="false" ht="15" hidden="false" customHeight="true" outlineLevel="0" collapsed="fals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customFormat="false" ht="15" hidden="false" customHeight="true" outlineLevel="0" collapsed="fals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customFormat="false" ht="15" hidden="false" customHeight="true" outlineLevel="0" collapsed="fals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customFormat="false" ht="15" hidden="false" customHeight="true" outlineLevel="0" collapsed="fals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customFormat="false" ht="15" hidden="false" customHeight="true" outlineLevel="0" collapsed="fals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customFormat="false" ht="15" hidden="false" customHeight="true" outlineLevel="0" collapsed="fals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customFormat="false" ht="15" hidden="false" customHeight="true" outlineLevel="0" collapsed="fals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customFormat="false" ht="15" hidden="false" customHeight="true" outlineLevel="0" collapsed="fals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customFormat="false" ht="15" hidden="false" customHeight="true" outlineLevel="0" collapsed="fals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customFormat="false" ht="15" hidden="false" customHeight="true" outlineLevel="0" collapsed="fals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customFormat="false" ht="15" hidden="false" customHeight="true" outlineLevel="0" collapsed="fals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customFormat="false" ht="15" hidden="false" customHeight="true" outlineLevel="0" collapsed="fals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customFormat="false" ht="15" hidden="false" customHeight="true" outlineLevel="0" collapsed="fals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customFormat="false" ht="15" hidden="false" customHeight="true" outlineLevel="0" collapsed="fals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customFormat="false" ht="15" hidden="false" customHeight="true" outlineLevel="0" collapsed="fals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customFormat="false" ht="15" hidden="false" customHeight="true" outlineLevel="0" collapsed="fals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customFormat="false" ht="15" hidden="false" customHeight="true" outlineLevel="0" collapsed="fals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customFormat="false" ht="15" hidden="false" customHeight="true" outlineLevel="0" collapsed="false">
      <c r="A56" s="2"/>
      <c r="B56" s="32" t="s">
        <v>76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customFormat="false" ht="15" hidden="false" customHeight="true" outlineLevel="0" collapsed="false">
      <c r="A57" s="2"/>
      <c r="B57" s="30" t="s">
        <v>77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customFormat="false" ht="15" hidden="false" customHeight="true" outlineLevel="0" collapsed="fals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customFormat="false" ht="15" hidden="false" customHeight="true" outlineLevel="0" collapsed="fals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customFormat="false" ht="15" hidden="false" customHeight="true" outlineLevel="0" collapsed="fals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customFormat="false" ht="15" hidden="false" customHeight="tru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customFormat="false" ht="15" hidden="false" customHeight="tru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customFormat="false" ht="15" hidden="false" customHeight="tru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customFormat="false" ht="15" hidden="false" customHeight="tru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customFormat="false" ht="15" hidden="false" customHeight="tru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customFormat="false" ht="15" hidden="false" customHeight="tru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customFormat="false" ht="15" hidden="false" customHeight="tru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customFormat="false" ht="15" hidden="false" customHeight="tru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customFormat="false" ht="15" hidden="false" customHeight="tru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customFormat="false" ht="15" hidden="false" customHeight="tru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customFormat="false" ht="15" hidden="false" customHeight="tru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customFormat="false" ht="15" hidden="false" customHeight="tru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</sheetData>
  <mergeCells count="15">
    <mergeCell ref="D7:F7"/>
    <mergeCell ref="J7:L7"/>
    <mergeCell ref="D8:F8"/>
    <mergeCell ref="J8:L8"/>
    <mergeCell ref="D9:F9"/>
    <mergeCell ref="J9:L9"/>
    <mergeCell ref="D10:F10"/>
    <mergeCell ref="J10:L10"/>
    <mergeCell ref="D11:F11"/>
    <mergeCell ref="J11:L11"/>
    <mergeCell ref="D12:F12"/>
    <mergeCell ref="J12:L12"/>
    <mergeCell ref="D13:F13"/>
    <mergeCell ref="J13:L13"/>
    <mergeCell ref="C30:L30"/>
  </mergeCells>
  <conditionalFormatting sqref="D13:G13">
    <cfRule type="expression" priority="2" aboveAverage="0" equalAverage="0" bottom="0" percent="0" rank="0" text="" dxfId="10">
      <formula>$D$12&gt;=1</formula>
    </cfRule>
    <cfRule type="expression" priority="3" aboveAverage="0" equalAverage="0" bottom="0" percent="0" rank="0" text="" dxfId="11">
      <formula>AND($D$12&gt;=0.7,$D$12&lt;1)</formula>
    </cfRule>
    <cfRule type="expression" priority="4" aboveAverage="0" equalAverage="0" bottom="0" percent="0" rank="0" text="" dxfId="9">
      <formula>$D$12&lt;0.7</formula>
    </cfRule>
  </conditionalFormatting>
  <conditionalFormatting sqref="D11:G11">
    <cfRule type="expression" priority="5" aboveAverage="0" equalAverage="0" bottom="0" percent="0" rank="0" text="" dxfId="10">
      <formula>$D$12&gt;=1</formula>
    </cfRule>
  </conditionalFormatting>
  <conditionalFormatting sqref="J13:M13">
    <cfRule type="expression" priority="6" aboveAverage="0" equalAverage="0" bottom="0" percent="0" rank="0" text="" dxfId="10">
      <formula>$J$13&gt;=1</formula>
    </cfRule>
    <cfRule type="expression" priority="7" aboveAverage="0" equalAverage="0" bottom="0" percent="0" rank="0" text="" dxfId="11">
      <formula>AND($J$13&gt;=0.7,$J$13&lt;1)</formula>
    </cfRule>
  </conditionalFormatting>
  <conditionalFormatting sqref="E18:E27">
    <cfRule type="expression" priority="8" aboveAverage="0" equalAverage="0" bottom="0" percent="0" rank="0" text="" dxfId="9">
      <formula>AND($E18&lt;&gt;"",$E18&gt;0)</formula>
    </cfRule>
    <cfRule type="expression" priority="9" aboveAverage="0" equalAverage="0" bottom="0" percent="0" rank="0" text="" dxfId="10">
      <formula>AND($E18&lt;&gt;"",$E18&lt;0)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DDC97"/>
    <pageSetUpPr fitToPage="false"/>
  </sheetPr>
  <dimension ref="A1:AH7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9" min="2" style="1" width="15"/>
    <col collapsed="false" customWidth="true" hidden="false" outlineLevel="0" max="10" min="10" style="1" width="13"/>
    <col collapsed="false" customWidth="true" hidden="false" outlineLevel="0" max="11" min="11" style="1" width="3"/>
    <col collapsed="false" customWidth="true" hidden="false" outlineLevel="0" max="12" min="12" style="1" width="15"/>
    <col collapsed="false" customWidth="true" hidden="false" outlineLevel="0" max="13" min="13" style="1" width="9"/>
    <col collapsed="false" customWidth="true" hidden="true" outlineLevel="0" max="14" min="14" style="1" width="9"/>
    <col collapsed="false" customWidth="true" hidden="false" outlineLevel="0" max="15" min="15" style="1" width="9"/>
    <col collapsed="false" customWidth="true" hidden="false" outlineLevel="0" max="17" min="16" style="1" width="14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0" t="n">
        <f aca="false">MATCH($B$6,Listas!$J$6:$J$17,0)</f>
        <v>9</v>
      </c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customFormat="false" ht="31.5" hidden="false" customHeight="true" outlineLevel="0" collapsed="false">
      <c r="A2" s="2"/>
      <c r="B2" s="4" t="s">
        <v>0</v>
      </c>
      <c r="C2" s="5" t="s">
        <v>186</v>
      </c>
      <c r="D2" s="2"/>
      <c r="E2" s="2"/>
      <c r="F2" s="2"/>
      <c r="G2" s="2"/>
      <c r="H2" s="2"/>
      <c r="I2" s="2"/>
      <c r="J2" s="2"/>
      <c r="K2" s="2"/>
      <c r="L2" s="2"/>
      <c r="M2" s="2"/>
      <c r="N2" s="90" t="n">
        <f aca="false">DATE($C$6,$N$1,1)</f>
        <v>46266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customFormat="false" ht="15" hidden="false" customHeight="true" outlineLevel="0" collapsed="false">
      <c r="A3" s="2"/>
      <c r="B3" s="2"/>
      <c r="C3" s="6" t="s">
        <v>187</v>
      </c>
      <c r="D3" s="2"/>
      <c r="E3" s="2"/>
      <c r="F3" s="2"/>
      <c r="G3" s="2"/>
      <c r="H3" s="2"/>
      <c r="I3" s="2"/>
      <c r="J3" s="2"/>
      <c r="K3" s="2"/>
      <c r="L3" s="2"/>
      <c r="M3" s="2"/>
      <c r="N3" s="90" t="n">
        <f aca="false">$N$2-WEEKDAY($N$2,1)+1</f>
        <v>46264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customFormat="false" ht="15" hidden="false" customHeight="tru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customFormat="false" ht="15" hidden="false" customHeight="true" outlineLevel="0" collapsed="false">
      <c r="A5" s="2"/>
      <c r="B5" s="91" t="s">
        <v>133</v>
      </c>
      <c r="C5" s="91" t="s">
        <v>188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customFormat="false" ht="15.75" hidden="false" customHeight="true" outlineLevel="0" collapsed="false">
      <c r="A6" s="2"/>
      <c r="B6" s="92" t="s">
        <v>189</v>
      </c>
      <c r="C6" s="93" t="n">
        <v>2026</v>
      </c>
      <c r="D6" s="2"/>
      <c r="E6" s="2"/>
      <c r="F6" s="2"/>
      <c r="G6" s="2"/>
      <c r="H6" s="2"/>
      <c r="I6" s="2"/>
      <c r="J6" s="2"/>
      <c r="K6" s="2"/>
      <c r="L6" s="74" t="s">
        <v>190</v>
      </c>
      <c r="M6" s="2"/>
      <c r="N6" s="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customFormat="false" ht="15" hidden="false" customHeight="true" outlineLevel="0" collapsed="false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8" t="s">
        <v>191</v>
      </c>
      <c r="M7" s="2"/>
      <c r="N7" s="2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customFormat="false" ht="15" hidden="false" customHeight="true" outlineLevel="0" collapsed="false">
      <c r="A8" s="2"/>
      <c r="B8" s="34" t="s">
        <v>192</v>
      </c>
      <c r="C8" s="35" t="s">
        <v>193</v>
      </c>
      <c r="D8" s="35" t="s">
        <v>194</v>
      </c>
      <c r="E8" s="35" t="s">
        <v>195</v>
      </c>
      <c r="F8" s="35" t="s">
        <v>196</v>
      </c>
      <c r="G8" s="35" t="s">
        <v>197</v>
      </c>
      <c r="H8" s="34" t="s">
        <v>198</v>
      </c>
      <c r="I8" s="2"/>
      <c r="J8" s="2"/>
      <c r="K8" s="2"/>
      <c r="L8" s="35" t="s">
        <v>133</v>
      </c>
      <c r="M8" s="35" t="s">
        <v>118</v>
      </c>
      <c r="N8" s="35" t="s">
        <v>199</v>
      </c>
      <c r="O8" s="35" t="s">
        <v>200</v>
      </c>
      <c r="P8" s="35" t="s">
        <v>119</v>
      </c>
      <c r="Q8" s="35" t="s">
        <v>201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customFormat="false" ht="18.75" hidden="false" customHeight="true" outlineLevel="0" collapsed="false">
      <c r="A9" s="2"/>
      <c r="B9" s="94" t="str">
        <f aca="false">IF(MONTH($N$3+0)&lt;&gt;$N$1,"",DAY($N$3+0))</f>
        <v/>
      </c>
      <c r="C9" s="94" t="str">
        <f aca="false">IF(MONTH($N$3+1)&lt;&gt;$N$1,"",DAY($N$3+1))</f>
        <v/>
      </c>
      <c r="D9" s="94" t="n">
        <f aca="false">IF(MONTH($N$3+2)&lt;&gt;$N$1,"",DAY($N$3+2))</f>
        <v>1</v>
      </c>
      <c r="E9" s="94" t="n">
        <f aca="false">IF(MONTH($N$3+3)&lt;&gt;$N$1,"",DAY($N$3+3))</f>
        <v>2</v>
      </c>
      <c r="F9" s="94" t="n">
        <f aca="false">IF(MONTH($N$3+4)&lt;&gt;$N$1,"",DAY($N$3+4))</f>
        <v>3</v>
      </c>
      <c r="G9" s="94" t="n">
        <f aca="false">IF(MONTH($N$3+5)&lt;&gt;$N$1,"",DAY($N$3+5))</f>
        <v>4</v>
      </c>
      <c r="H9" s="94" t="n">
        <f aca="false">IF(MONTH($N$3+6)&lt;&gt;$N$1,"",DAY($N$3+6))</f>
        <v>5</v>
      </c>
      <c r="I9" s="95" t="s">
        <v>202</v>
      </c>
      <c r="J9" s="2"/>
      <c r="K9" s="2"/>
      <c r="L9" s="72" t="s">
        <v>203</v>
      </c>
      <c r="M9" s="73" t="n">
        <f aca="false">COUNTIFS(Operaciones!$B$5:$B$504,"&gt;="&amp;DATE($C$6,1,1),Operaciones!$B$5:$B$504,"&lt;"&amp;DATE($C$6,2,1))</f>
        <v>0</v>
      </c>
      <c r="N9" s="73" t="n">
        <f aca="false">COUNTIFS(Operaciones!$B$5:$B$504,"&gt;="&amp;DATE($C$6,1,1),Operaciones!$B$5:$B$504,"&lt;"&amp;DATE($C$6,2,1),Operaciones!$G$5:$G$504,"&gt;0")</f>
        <v>0</v>
      </c>
      <c r="O9" s="73" t="n">
        <f aca="false">COUNTIFS(Operaciones!$B$5:$B$504,"&gt;="&amp;DATE($C$6,1,1),Operaciones!$B$5:$B$504,"&lt;"&amp;DATE($C$6,2,1),Operaciones!$G$5:$G$504,"&lt;0")</f>
        <v>0</v>
      </c>
      <c r="P9" s="96" t="str">
        <f aca="false">IF($M9=0,"",SUMIFS(Operaciones!$G$5:$G$504,Operaciones!$B$5:$B$504,"&gt;="&amp;DATE($C$6,1,1),Operaciones!$B$5:$B$504,"&lt;"&amp;DATE($C$6,2,1)))</f>
        <v/>
      </c>
      <c r="Q9" s="97" t="str">
        <f aca="false">IF(SUM($M$9:$M9)=0,"",SUM($P$9:$P9))</f>
        <v/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customFormat="false" ht="18.75" hidden="false" customHeight="true" outlineLevel="0" collapsed="false">
      <c r="A10" s="2"/>
      <c r="B10" s="98" t="str">
        <f aca="false">IF(MONTH($N$3+0)&lt;&gt;$N$1,"",IF(SUMPRODUCT((Operaciones!$B$5:$B$504=$N$3+0)*(Operaciones!$G$5:$G$504&lt;&gt;""))=0,"",SUMIF(Operaciones!$B$5:$B$504,$N$3+0,Operaciones!$G$5:$G$504)))</f>
        <v/>
      </c>
      <c r="C10" s="98" t="str">
        <f aca="false">IF(MONTH($N$3+1)&lt;&gt;$N$1,"",IF(SUMPRODUCT((Operaciones!$B$5:$B$504=$N$3+1)*(Operaciones!$G$5:$G$504&lt;&gt;""))=0,"",SUMIF(Operaciones!$B$5:$B$504,$N$3+1,Operaciones!$G$5:$G$504)))</f>
        <v/>
      </c>
      <c r="D10" s="98" t="str">
        <f aca="false">IF(MONTH($N$3+2)&lt;&gt;$N$1,"",IF(SUMPRODUCT((Operaciones!$B$5:$B$504=$N$3+2)*(Operaciones!$G$5:$G$504&lt;&gt;""))=0,"",SUMIF(Operaciones!$B$5:$B$504,$N$3+2,Operaciones!$G$5:$G$504)))</f>
        <v/>
      </c>
      <c r="E10" s="98" t="str">
        <f aca="false">IF(MONTH($N$3+3)&lt;&gt;$N$1,"",IF(SUMPRODUCT((Operaciones!$B$5:$B$504=$N$3+3)*(Operaciones!$G$5:$G$504&lt;&gt;""))=0,"",SUMIF(Operaciones!$B$5:$B$504,$N$3+3,Operaciones!$G$5:$G$504)))</f>
        <v/>
      </c>
      <c r="F10" s="98" t="str">
        <f aca="false">IF(MONTH($N$3+4)&lt;&gt;$N$1,"",IF(SUMPRODUCT((Operaciones!$B$5:$B$504=$N$3+4)*(Operaciones!$G$5:$G$504&lt;&gt;""))=0,"",SUMIF(Operaciones!$B$5:$B$504,$N$3+4,Operaciones!$G$5:$G$504)))</f>
        <v/>
      </c>
      <c r="G10" s="98" t="str">
        <f aca="false">IF(MONTH($N$3+5)&lt;&gt;$N$1,"",IF(SUMPRODUCT((Operaciones!$B$5:$B$504=$N$3+5)*(Operaciones!$G$5:$G$504&lt;&gt;""))=0,"",SUMIF(Operaciones!$B$5:$B$504,$N$3+5,Operaciones!$G$5:$G$504)))</f>
        <v/>
      </c>
      <c r="H10" s="98" t="str">
        <f aca="false">IF(MONTH($N$3+6)&lt;&gt;$N$1,"",IF(SUMPRODUCT((Operaciones!$B$5:$B$504=$N$3+6)*(Operaciones!$G$5:$G$504&lt;&gt;""))=0,"",SUMIF(Operaciones!$B$5:$B$504,$N$3+6,Operaciones!$G$5:$G$504)))</f>
        <v/>
      </c>
      <c r="I10" s="99" t="str">
        <f aca="false">IF(COUNT($B10:$H10)=0,"",SUM($B10:$H10))</f>
        <v/>
      </c>
      <c r="J10" s="2"/>
      <c r="K10" s="2"/>
      <c r="L10" s="72" t="s">
        <v>204</v>
      </c>
      <c r="M10" s="73" t="n">
        <f aca="false">COUNTIFS(Operaciones!$B$5:$B$504,"&gt;="&amp;DATE($C$6,2,1),Operaciones!$B$5:$B$504,"&lt;"&amp;DATE($C$6,3,1))</f>
        <v>0</v>
      </c>
      <c r="N10" s="73" t="n">
        <f aca="false">COUNTIFS(Operaciones!$B$5:$B$504,"&gt;="&amp;DATE($C$6,2,1),Operaciones!$B$5:$B$504,"&lt;"&amp;DATE($C$6,3,1),Operaciones!$G$5:$G$504,"&gt;0")</f>
        <v>0</v>
      </c>
      <c r="O10" s="73" t="n">
        <f aca="false">COUNTIFS(Operaciones!$B$5:$B$504,"&gt;="&amp;DATE($C$6,2,1),Operaciones!$B$5:$B$504,"&lt;"&amp;DATE($C$6,3,1),Operaciones!$G$5:$G$504,"&lt;0")</f>
        <v>0</v>
      </c>
      <c r="P10" s="96" t="str">
        <f aca="false">IF($M10=0,"",SUMIFS(Operaciones!$G$5:$G$504,Operaciones!$B$5:$B$504,"&gt;="&amp;DATE($C$6,2,1),Operaciones!$B$5:$B$504,"&lt;"&amp;DATE($C$6,3,1)))</f>
        <v/>
      </c>
      <c r="Q10" s="97" t="str">
        <f aca="false">IF(SUM($M$9:$M10)=0,"",SUM($P$9:$P10))</f>
        <v/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customFormat="false" ht="18.75" hidden="false" customHeight="true" outlineLevel="0" collapsed="false">
      <c r="A11" s="2"/>
      <c r="B11" s="100" t="str">
        <f aca="false">IF(MONTH($N$3+0)&lt;&gt;$N$1,"",IF(SUMPRODUCT((Operaciones!$B$5:$B$504=$N$3+0)*(Operaciones!$G$5:$G$504&lt;&gt;""))=0,"",SUMPRODUCT((Operaciones!$B$5:$B$504=$N$3+0)*(Operaciones!$G$5:$G$504&lt;&gt;""))&amp;IF(SUMPRODUCT((Operaciones!$B$5:$B$504=$N$3+0)*(Operaciones!$G$5:$G$504&lt;&gt;""))=1," op"," ops")))</f>
        <v/>
      </c>
      <c r="C11" s="100" t="str">
        <f aca="false">IF(MONTH($N$3+1)&lt;&gt;$N$1,"",IF(SUMPRODUCT((Operaciones!$B$5:$B$504=$N$3+1)*(Operaciones!$G$5:$G$504&lt;&gt;""))=0,"",SUMPRODUCT((Operaciones!$B$5:$B$504=$N$3+1)*(Operaciones!$G$5:$G$504&lt;&gt;""))&amp;IF(SUMPRODUCT((Operaciones!$B$5:$B$504=$N$3+1)*(Operaciones!$G$5:$G$504&lt;&gt;""))=1," op"," ops")))</f>
        <v/>
      </c>
      <c r="D11" s="100" t="str">
        <f aca="false">IF(MONTH($N$3+2)&lt;&gt;$N$1,"",IF(SUMPRODUCT((Operaciones!$B$5:$B$504=$N$3+2)*(Operaciones!$G$5:$G$504&lt;&gt;""))=0,"",SUMPRODUCT((Operaciones!$B$5:$B$504=$N$3+2)*(Operaciones!$G$5:$G$504&lt;&gt;""))&amp;IF(SUMPRODUCT((Operaciones!$B$5:$B$504=$N$3+2)*(Operaciones!$G$5:$G$504&lt;&gt;""))=1," op"," ops")))</f>
        <v/>
      </c>
      <c r="E11" s="100" t="str">
        <f aca="false">IF(MONTH($N$3+3)&lt;&gt;$N$1,"",IF(SUMPRODUCT((Operaciones!$B$5:$B$504=$N$3+3)*(Operaciones!$G$5:$G$504&lt;&gt;""))=0,"",SUMPRODUCT((Operaciones!$B$5:$B$504=$N$3+3)*(Operaciones!$G$5:$G$504&lt;&gt;""))&amp;IF(SUMPRODUCT((Operaciones!$B$5:$B$504=$N$3+3)*(Operaciones!$G$5:$G$504&lt;&gt;""))=1," op"," ops")))</f>
        <v/>
      </c>
      <c r="F11" s="100" t="str">
        <f aca="false">IF(MONTH($N$3+4)&lt;&gt;$N$1,"",IF(SUMPRODUCT((Operaciones!$B$5:$B$504=$N$3+4)*(Operaciones!$G$5:$G$504&lt;&gt;""))=0,"",SUMPRODUCT((Operaciones!$B$5:$B$504=$N$3+4)*(Operaciones!$G$5:$G$504&lt;&gt;""))&amp;IF(SUMPRODUCT((Operaciones!$B$5:$B$504=$N$3+4)*(Operaciones!$G$5:$G$504&lt;&gt;""))=1," op"," ops")))</f>
        <v/>
      </c>
      <c r="G11" s="100" t="str">
        <f aca="false">IF(MONTH($N$3+5)&lt;&gt;$N$1,"",IF(SUMPRODUCT((Operaciones!$B$5:$B$504=$N$3+5)*(Operaciones!$G$5:$G$504&lt;&gt;""))=0,"",SUMPRODUCT((Operaciones!$B$5:$B$504=$N$3+5)*(Operaciones!$G$5:$G$504&lt;&gt;""))&amp;IF(SUMPRODUCT((Operaciones!$B$5:$B$504=$N$3+5)*(Operaciones!$G$5:$G$504&lt;&gt;""))=1," op"," ops")))</f>
        <v/>
      </c>
      <c r="H11" s="100" t="str">
        <f aca="false">IF(MONTH($N$3+6)&lt;&gt;$N$1,"",IF(SUMPRODUCT((Operaciones!$B$5:$B$504=$N$3+6)*(Operaciones!$G$5:$G$504&lt;&gt;""))=0,"",SUMPRODUCT((Operaciones!$B$5:$B$504=$N$3+6)*(Operaciones!$G$5:$G$504&lt;&gt;""))&amp;IF(SUMPRODUCT((Operaciones!$B$5:$B$504=$N$3+6)*(Operaciones!$G$5:$G$504&lt;&gt;""))=1," op"," ops")))</f>
        <v/>
      </c>
      <c r="I11" s="101"/>
      <c r="J11" s="2"/>
      <c r="K11" s="2"/>
      <c r="L11" s="72" t="s">
        <v>205</v>
      </c>
      <c r="M11" s="73" t="n">
        <f aca="false">COUNTIFS(Operaciones!$B$5:$B$504,"&gt;="&amp;DATE($C$6,3,1),Operaciones!$B$5:$B$504,"&lt;"&amp;DATE($C$6,4,1))</f>
        <v>0</v>
      </c>
      <c r="N11" s="73" t="n">
        <f aca="false">COUNTIFS(Operaciones!$B$5:$B$504,"&gt;="&amp;DATE($C$6,3,1),Operaciones!$B$5:$B$504,"&lt;"&amp;DATE($C$6,4,1),Operaciones!$G$5:$G$504,"&gt;0")</f>
        <v>0</v>
      </c>
      <c r="O11" s="73" t="n">
        <f aca="false">COUNTIFS(Operaciones!$B$5:$B$504,"&gt;="&amp;DATE($C$6,3,1),Operaciones!$B$5:$B$504,"&lt;"&amp;DATE($C$6,4,1),Operaciones!$G$5:$G$504,"&lt;0")</f>
        <v>0</v>
      </c>
      <c r="P11" s="96" t="str">
        <f aca="false">IF($M11=0,"",SUMIFS(Operaciones!$G$5:$G$504,Operaciones!$B$5:$B$504,"&gt;="&amp;DATE($C$6,3,1),Operaciones!$B$5:$B$504,"&lt;"&amp;DATE($C$6,4,1)))</f>
        <v/>
      </c>
      <c r="Q11" s="97" t="str">
        <f aca="false">IF(SUM($M$9:$M11)=0,"",SUM($P$9:$P11))</f>
        <v/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customFormat="false" ht="18.75" hidden="false" customHeight="true" outlineLevel="0" collapsed="false">
      <c r="A12" s="2"/>
      <c r="B12" s="94" t="n">
        <f aca="false">IF(MONTH($N$3+7)&lt;&gt;$N$1,"",DAY($N$3+7))</f>
        <v>6</v>
      </c>
      <c r="C12" s="94" t="n">
        <f aca="false">IF(MONTH($N$3+8)&lt;&gt;$N$1,"",DAY($N$3+8))</f>
        <v>7</v>
      </c>
      <c r="D12" s="94" t="n">
        <f aca="false">IF(MONTH($N$3+9)&lt;&gt;$N$1,"",DAY($N$3+9))</f>
        <v>8</v>
      </c>
      <c r="E12" s="94" t="n">
        <f aca="false">IF(MONTH($N$3+10)&lt;&gt;$N$1,"",DAY($N$3+10))</f>
        <v>9</v>
      </c>
      <c r="F12" s="94" t="n">
        <f aca="false">IF(MONTH($N$3+11)&lt;&gt;$N$1,"",DAY($N$3+11))</f>
        <v>10</v>
      </c>
      <c r="G12" s="94" t="n">
        <f aca="false">IF(MONTH($N$3+12)&lt;&gt;$N$1,"",DAY($N$3+12))</f>
        <v>11</v>
      </c>
      <c r="H12" s="94" t="n">
        <f aca="false">IF(MONTH($N$3+13)&lt;&gt;$N$1,"",DAY($N$3+13))</f>
        <v>12</v>
      </c>
      <c r="I12" s="95" t="s">
        <v>206</v>
      </c>
      <c r="J12" s="2"/>
      <c r="K12" s="2"/>
      <c r="L12" s="72" t="s">
        <v>207</v>
      </c>
      <c r="M12" s="73" t="n">
        <f aca="false">COUNTIFS(Operaciones!$B$5:$B$504,"&gt;="&amp;DATE($C$6,4,1),Operaciones!$B$5:$B$504,"&lt;"&amp;DATE($C$6,5,1))</f>
        <v>0</v>
      </c>
      <c r="N12" s="73" t="n">
        <f aca="false">COUNTIFS(Operaciones!$B$5:$B$504,"&gt;="&amp;DATE($C$6,4,1),Operaciones!$B$5:$B$504,"&lt;"&amp;DATE($C$6,5,1),Operaciones!$G$5:$G$504,"&gt;0")</f>
        <v>0</v>
      </c>
      <c r="O12" s="73" t="n">
        <f aca="false">COUNTIFS(Operaciones!$B$5:$B$504,"&gt;="&amp;DATE($C$6,4,1),Operaciones!$B$5:$B$504,"&lt;"&amp;DATE($C$6,5,1),Operaciones!$G$5:$G$504,"&lt;0")</f>
        <v>0</v>
      </c>
      <c r="P12" s="96" t="str">
        <f aca="false">IF($M12=0,"",SUMIFS(Operaciones!$G$5:$G$504,Operaciones!$B$5:$B$504,"&gt;="&amp;DATE($C$6,4,1),Operaciones!$B$5:$B$504,"&lt;"&amp;DATE($C$6,5,1)))</f>
        <v/>
      </c>
      <c r="Q12" s="97" t="str">
        <f aca="false">IF(SUM($M$9:$M12)=0,"",SUM($P$9:$P12))</f>
        <v/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customFormat="false" ht="18.75" hidden="false" customHeight="true" outlineLevel="0" collapsed="false">
      <c r="A13" s="2"/>
      <c r="B13" s="98" t="str">
        <f aca="false">IF(MONTH($N$3+7)&lt;&gt;$N$1,"",IF(SUMPRODUCT((Operaciones!$B$5:$B$504=$N$3+7)*(Operaciones!$G$5:$G$504&lt;&gt;""))=0,"",SUMIF(Operaciones!$B$5:$B$504,$N$3+7,Operaciones!$G$5:$G$504)))</f>
        <v/>
      </c>
      <c r="C13" s="98" t="str">
        <f aca="false">IF(MONTH($N$3+8)&lt;&gt;$N$1,"",IF(SUMPRODUCT((Operaciones!$B$5:$B$504=$N$3+8)*(Operaciones!$G$5:$G$504&lt;&gt;""))=0,"",SUMIF(Operaciones!$B$5:$B$504,$N$3+8,Operaciones!$G$5:$G$504)))</f>
        <v/>
      </c>
      <c r="D13" s="98" t="str">
        <f aca="false">IF(MONTH($N$3+9)&lt;&gt;$N$1,"",IF(SUMPRODUCT((Operaciones!$B$5:$B$504=$N$3+9)*(Operaciones!$G$5:$G$504&lt;&gt;""))=0,"",SUMIF(Operaciones!$B$5:$B$504,$N$3+9,Operaciones!$G$5:$G$504)))</f>
        <v/>
      </c>
      <c r="E13" s="98" t="str">
        <f aca="false">IF(MONTH($N$3+10)&lt;&gt;$N$1,"",IF(SUMPRODUCT((Operaciones!$B$5:$B$504=$N$3+10)*(Operaciones!$G$5:$G$504&lt;&gt;""))=0,"",SUMIF(Operaciones!$B$5:$B$504,$N$3+10,Operaciones!$G$5:$G$504)))</f>
        <v/>
      </c>
      <c r="F13" s="98" t="str">
        <f aca="false">IF(MONTH($N$3+11)&lt;&gt;$N$1,"",IF(SUMPRODUCT((Operaciones!$B$5:$B$504=$N$3+11)*(Operaciones!$G$5:$G$504&lt;&gt;""))=0,"",SUMIF(Operaciones!$B$5:$B$504,$N$3+11,Operaciones!$G$5:$G$504)))</f>
        <v/>
      </c>
      <c r="G13" s="98" t="str">
        <f aca="false">IF(MONTH($N$3+12)&lt;&gt;$N$1,"",IF(SUMPRODUCT((Operaciones!$B$5:$B$504=$N$3+12)*(Operaciones!$G$5:$G$504&lt;&gt;""))=0,"",SUMIF(Operaciones!$B$5:$B$504,$N$3+12,Operaciones!$G$5:$G$504)))</f>
        <v/>
      </c>
      <c r="H13" s="98" t="str">
        <f aca="false">IF(MONTH($N$3+13)&lt;&gt;$N$1,"",IF(SUMPRODUCT((Operaciones!$B$5:$B$504=$N$3+13)*(Operaciones!$G$5:$G$504&lt;&gt;""))=0,"",SUMIF(Operaciones!$B$5:$B$504,$N$3+13,Operaciones!$G$5:$G$504)))</f>
        <v/>
      </c>
      <c r="I13" s="99" t="str">
        <f aca="false">IF(COUNT($B13:$H13)=0,"",SUM($B13:$H13))</f>
        <v/>
      </c>
      <c r="J13" s="2"/>
      <c r="K13" s="2"/>
      <c r="L13" s="72" t="s">
        <v>208</v>
      </c>
      <c r="M13" s="73" t="n">
        <f aca="false">COUNTIFS(Operaciones!$B$5:$B$504,"&gt;="&amp;DATE($C$6,5,1),Operaciones!$B$5:$B$504,"&lt;"&amp;DATE($C$6,6,1))</f>
        <v>0</v>
      </c>
      <c r="N13" s="73" t="n">
        <f aca="false">COUNTIFS(Operaciones!$B$5:$B$504,"&gt;="&amp;DATE($C$6,5,1),Operaciones!$B$5:$B$504,"&lt;"&amp;DATE($C$6,6,1),Operaciones!$G$5:$G$504,"&gt;0")</f>
        <v>0</v>
      </c>
      <c r="O13" s="73" t="n">
        <f aca="false">COUNTIFS(Operaciones!$B$5:$B$504,"&gt;="&amp;DATE($C$6,5,1),Operaciones!$B$5:$B$504,"&lt;"&amp;DATE($C$6,6,1),Operaciones!$G$5:$G$504,"&lt;0")</f>
        <v>0</v>
      </c>
      <c r="P13" s="96" t="str">
        <f aca="false">IF($M13=0,"",SUMIFS(Operaciones!$G$5:$G$504,Operaciones!$B$5:$B$504,"&gt;="&amp;DATE($C$6,5,1),Operaciones!$B$5:$B$504,"&lt;"&amp;DATE($C$6,6,1)))</f>
        <v/>
      </c>
      <c r="Q13" s="97" t="str">
        <f aca="false">IF(SUM($M$9:$M13)=0,"",SUM($P$9:$P13))</f>
        <v/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customFormat="false" ht="18.75" hidden="false" customHeight="true" outlineLevel="0" collapsed="false">
      <c r="A14" s="2"/>
      <c r="B14" s="100" t="str">
        <f aca="false">IF(MONTH($N$3+7)&lt;&gt;$N$1,"",IF(SUMPRODUCT((Operaciones!$B$5:$B$504=$N$3+7)*(Operaciones!$G$5:$G$504&lt;&gt;""))=0,"",SUMPRODUCT((Operaciones!$B$5:$B$504=$N$3+7)*(Operaciones!$G$5:$G$504&lt;&gt;""))&amp;IF(SUMPRODUCT((Operaciones!$B$5:$B$504=$N$3+7)*(Operaciones!$G$5:$G$504&lt;&gt;""))=1," op"," ops")))</f>
        <v/>
      </c>
      <c r="C14" s="100" t="str">
        <f aca="false">IF(MONTH($N$3+8)&lt;&gt;$N$1,"",IF(SUMPRODUCT((Operaciones!$B$5:$B$504=$N$3+8)*(Operaciones!$G$5:$G$504&lt;&gt;""))=0,"",SUMPRODUCT((Operaciones!$B$5:$B$504=$N$3+8)*(Operaciones!$G$5:$G$504&lt;&gt;""))&amp;IF(SUMPRODUCT((Operaciones!$B$5:$B$504=$N$3+8)*(Operaciones!$G$5:$G$504&lt;&gt;""))=1," op"," ops")))</f>
        <v/>
      </c>
      <c r="D14" s="100" t="str">
        <f aca="false">IF(MONTH($N$3+9)&lt;&gt;$N$1,"",IF(SUMPRODUCT((Operaciones!$B$5:$B$504=$N$3+9)*(Operaciones!$G$5:$G$504&lt;&gt;""))=0,"",SUMPRODUCT((Operaciones!$B$5:$B$504=$N$3+9)*(Operaciones!$G$5:$G$504&lt;&gt;""))&amp;IF(SUMPRODUCT((Operaciones!$B$5:$B$504=$N$3+9)*(Operaciones!$G$5:$G$504&lt;&gt;""))=1," op"," ops")))</f>
        <v/>
      </c>
      <c r="E14" s="100" t="str">
        <f aca="false">IF(MONTH($N$3+10)&lt;&gt;$N$1,"",IF(SUMPRODUCT((Operaciones!$B$5:$B$504=$N$3+10)*(Operaciones!$G$5:$G$504&lt;&gt;""))=0,"",SUMPRODUCT((Operaciones!$B$5:$B$504=$N$3+10)*(Operaciones!$G$5:$G$504&lt;&gt;""))&amp;IF(SUMPRODUCT((Operaciones!$B$5:$B$504=$N$3+10)*(Operaciones!$G$5:$G$504&lt;&gt;""))=1," op"," ops")))</f>
        <v/>
      </c>
      <c r="F14" s="100" t="str">
        <f aca="false">IF(MONTH($N$3+11)&lt;&gt;$N$1,"",IF(SUMPRODUCT((Operaciones!$B$5:$B$504=$N$3+11)*(Operaciones!$G$5:$G$504&lt;&gt;""))=0,"",SUMPRODUCT((Operaciones!$B$5:$B$504=$N$3+11)*(Operaciones!$G$5:$G$504&lt;&gt;""))&amp;IF(SUMPRODUCT((Operaciones!$B$5:$B$504=$N$3+11)*(Operaciones!$G$5:$G$504&lt;&gt;""))=1," op"," ops")))</f>
        <v/>
      </c>
      <c r="G14" s="100" t="str">
        <f aca="false">IF(MONTH($N$3+12)&lt;&gt;$N$1,"",IF(SUMPRODUCT((Operaciones!$B$5:$B$504=$N$3+12)*(Operaciones!$G$5:$G$504&lt;&gt;""))=0,"",SUMPRODUCT((Operaciones!$B$5:$B$504=$N$3+12)*(Operaciones!$G$5:$G$504&lt;&gt;""))&amp;IF(SUMPRODUCT((Operaciones!$B$5:$B$504=$N$3+12)*(Operaciones!$G$5:$G$504&lt;&gt;""))=1," op"," ops")))</f>
        <v/>
      </c>
      <c r="H14" s="100" t="str">
        <f aca="false">IF(MONTH($N$3+13)&lt;&gt;$N$1,"",IF(SUMPRODUCT((Operaciones!$B$5:$B$504=$N$3+13)*(Operaciones!$G$5:$G$504&lt;&gt;""))=0,"",SUMPRODUCT((Operaciones!$B$5:$B$504=$N$3+13)*(Operaciones!$G$5:$G$504&lt;&gt;""))&amp;IF(SUMPRODUCT((Operaciones!$B$5:$B$504=$N$3+13)*(Operaciones!$G$5:$G$504&lt;&gt;""))=1," op"," ops")))</f>
        <v/>
      </c>
      <c r="I14" s="101"/>
      <c r="J14" s="2"/>
      <c r="K14" s="2"/>
      <c r="L14" s="72" t="s">
        <v>209</v>
      </c>
      <c r="M14" s="73" t="n">
        <f aca="false">COUNTIFS(Operaciones!$B$5:$B$504,"&gt;="&amp;DATE($C$6,6,1),Operaciones!$B$5:$B$504,"&lt;"&amp;DATE($C$6,7,1))</f>
        <v>0</v>
      </c>
      <c r="N14" s="73" t="n">
        <f aca="false">COUNTIFS(Operaciones!$B$5:$B$504,"&gt;="&amp;DATE($C$6,6,1),Operaciones!$B$5:$B$504,"&lt;"&amp;DATE($C$6,7,1),Operaciones!$G$5:$G$504,"&gt;0")</f>
        <v>0</v>
      </c>
      <c r="O14" s="73" t="n">
        <f aca="false">COUNTIFS(Operaciones!$B$5:$B$504,"&gt;="&amp;DATE($C$6,6,1),Operaciones!$B$5:$B$504,"&lt;"&amp;DATE($C$6,7,1),Operaciones!$G$5:$G$504,"&lt;0")</f>
        <v>0</v>
      </c>
      <c r="P14" s="96" t="str">
        <f aca="false">IF($M14=0,"",SUMIFS(Operaciones!$G$5:$G$504,Operaciones!$B$5:$B$504,"&gt;="&amp;DATE($C$6,6,1),Operaciones!$B$5:$B$504,"&lt;"&amp;DATE($C$6,7,1)))</f>
        <v/>
      </c>
      <c r="Q14" s="97" t="str">
        <f aca="false">IF(SUM($M$9:$M14)=0,"",SUM($P$9:$P14))</f>
        <v/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customFormat="false" ht="18.75" hidden="false" customHeight="true" outlineLevel="0" collapsed="false">
      <c r="A15" s="2"/>
      <c r="B15" s="94" t="n">
        <f aca="false">IF(MONTH($N$3+14)&lt;&gt;$N$1,"",DAY($N$3+14))</f>
        <v>13</v>
      </c>
      <c r="C15" s="94" t="n">
        <f aca="false">IF(MONTH($N$3+15)&lt;&gt;$N$1,"",DAY($N$3+15))</f>
        <v>14</v>
      </c>
      <c r="D15" s="94" t="n">
        <f aca="false">IF(MONTH($N$3+16)&lt;&gt;$N$1,"",DAY($N$3+16))</f>
        <v>15</v>
      </c>
      <c r="E15" s="94" t="n">
        <f aca="false">IF(MONTH($N$3+17)&lt;&gt;$N$1,"",DAY($N$3+17))</f>
        <v>16</v>
      </c>
      <c r="F15" s="94" t="n">
        <f aca="false">IF(MONTH($N$3+18)&lt;&gt;$N$1,"",DAY($N$3+18))</f>
        <v>17</v>
      </c>
      <c r="G15" s="94" t="n">
        <f aca="false">IF(MONTH($N$3+19)&lt;&gt;$N$1,"",DAY($N$3+19))</f>
        <v>18</v>
      </c>
      <c r="H15" s="94" t="n">
        <f aca="false">IF(MONTH($N$3+20)&lt;&gt;$N$1,"",DAY($N$3+20))</f>
        <v>19</v>
      </c>
      <c r="I15" s="95" t="s">
        <v>210</v>
      </c>
      <c r="J15" s="2"/>
      <c r="K15" s="2"/>
      <c r="L15" s="72" t="s">
        <v>211</v>
      </c>
      <c r="M15" s="73" t="n">
        <f aca="false">COUNTIFS(Operaciones!$B$5:$B$504,"&gt;="&amp;DATE($C$6,7,1),Operaciones!$B$5:$B$504,"&lt;"&amp;DATE($C$6,8,1))</f>
        <v>0</v>
      </c>
      <c r="N15" s="73" t="n">
        <f aca="false">COUNTIFS(Operaciones!$B$5:$B$504,"&gt;="&amp;DATE($C$6,7,1),Operaciones!$B$5:$B$504,"&lt;"&amp;DATE($C$6,8,1),Operaciones!$G$5:$G$504,"&gt;0")</f>
        <v>0</v>
      </c>
      <c r="O15" s="73" t="n">
        <f aca="false">COUNTIFS(Operaciones!$B$5:$B$504,"&gt;="&amp;DATE($C$6,7,1),Operaciones!$B$5:$B$504,"&lt;"&amp;DATE($C$6,8,1),Operaciones!$G$5:$G$504,"&lt;0")</f>
        <v>0</v>
      </c>
      <c r="P15" s="96" t="str">
        <f aca="false">IF($M15=0,"",SUMIFS(Operaciones!$G$5:$G$504,Operaciones!$B$5:$B$504,"&gt;="&amp;DATE($C$6,7,1),Operaciones!$B$5:$B$504,"&lt;"&amp;DATE($C$6,8,1)))</f>
        <v/>
      </c>
      <c r="Q15" s="97" t="str">
        <f aca="false">IF(SUM($M$9:$M15)=0,"",SUM($P$9:$P15))</f>
        <v/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customFormat="false" ht="18.75" hidden="false" customHeight="true" outlineLevel="0" collapsed="false">
      <c r="A16" s="2"/>
      <c r="B16" s="98" t="str">
        <f aca="false">IF(MONTH($N$3+14)&lt;&gt;$N$1,"",IF(SUMPRODUCT((Operaciones!$B$5:$B$504=$N$3+14)*(Operaciones!$G$5:$G$504&lt;&gt;""))=0,"",SUMIF(Operaciones!$B$5:$B$504,$N$3+14,Operaciones!$G$5:$G$504)))</f>
        <v/>
      </c>
      <c r="C16" s="98" t="str">
        <f aca="false">IF(MONTH($N$3+15)&lt;&gt;$N$1,"",IF(SUMPRODUCT((Operaciones!$B$5:$B$504=$N$3+15)*(Operaciones!$G$5:$G$504&lt;&gt;""))=0,"",SUMIF(Operaciones!$B$5:$B$504,$N$3+15,Operaciones!$G$5:$G$504)))</f>
        <v/>
      </c>
      <c r="D16" s="98" t="str">
        <f aca="false">IF(MONTH($N$3+16)&lt;&gt;$N$1,"",IF(SUMPRODUCT((Operaciones!$B$5:$B$504=$N$3+16)*(Operaciones!$G$5:$G$504&lt;&gt;""))=0,"",SUMIF(Operaciones!$B$5:$B$504,$N$3+16,Operaciones!$G$5:$G$504)))</f>
        <v/>
      </c>
      <c r="E16" s="98" t="str">
        <f aca="false">IF(MONTH($N$3+17)&lt;&gt;$N$1,"",IF(SUMPRODUCT((Operaciones!$B$5:$B$504=$N$3+17)*(Operaciones!$G$5:$G$504&lt;&gt;""))=0,"",SUMIF(Operaciones!$B$5:$B$504,$N$3+17,Operaciones!$G$5:$G$504)))</f>
        <v/>
      </c>
      <c r="F16" s="98" t="str">
        <f aca="false">IF(MONTH($N$3+18)&lt;&gt;$N$1,"",IF(SUMPRODUCT((Operaciones!$B$5:$B$504=$N$3+18)*(Operaciones!$G$5:$G$504&lt;&gt;""))=0,"",SUMIF(Operaciones!$B$5:$B$504,$N$3+18,Operaciones!$G$5:$G$504)))</f>
        <v/>
      </c>
      <c r="G16" s="98" t="str">
        <f aca="false">IF(MONTH($N$3+19)&lt;&gt;$N$1,"",IF(SUMPRODUCT((Operaciones!$B$5:$B$504=$N$3+19)*(Operaciones!$G$5:$G$504&lt;&gt;""))=0,"",SUMIF(Operaciones!$B$5:$B$504,$N$3+19,Operaciones!$G$5:$G$504)))</f>
        <v/>
      </c>
      <c r="H16" s="98" t="str">
        <f aca="false">IF(MONTH($N$3+20)&lt;&gt;$N$1,"",IF(SUMPRODUCT((Operaciones!$B$5:$B$504=$N$3+20)*(Operaciones!$G$5:$G$504&lt;&gt;""))=0,"",SUMIF(Operaciones!$B$5:$B$504,$N$3+20,Operaciones!$G$5:$G$504)))</f>
        <v/>
      </c>
      <c r="I16" s="99" t="str">
        <f aca="false">IF(COUNT($B16:$H16)=0,"",SUM($B16:$H16))</f>
        <v/>
      </c>
      <c r="J16" s="2"/>
      <c r="K16" s="2"/>
      <c r="L16" s="72" t="s">
        <v>212</v>
      </c>
      <c r="M16" s="73" t="n">
        <f aca="false">COUNTIFS(Operaciones!$B$5:$B$504,"&gt;="&amp;DATE($C$6,8,1),Operaciones!$B$5:$B$504,"&lt;"&amp;DATE($C$6,9,1))</f>
        <v>0</v>
      </c>
      <c r="N16" s="73" t="n">
        <f aca="false">COUNTIFS(Operaciones!$B$5:$B$504,"&gt;="&amp;DATE($C$6,8,1),Operaciones!$B$5:$B$504,"&lt;"&amp;DATE($C$6,9,1),Operaciones!$G$5:$G$504,"&gt;0")</f>
        <v>0</v>
      </c>
      <c r="O16" s="73" t="n">
        <f aca="false">COUNTIFS(Operaciones!$B$5:$B$504,"&gt;="&amp;DATE($C$6,8,1),Operaciones!$B$5:$B$504,"&lt;"&amp;DATE($C$6,9,1),Operaciones!$G$5:$G$504,"&lt;0")</f>
        <v>0</v>
      </c>
      <c r="P16" s="96" t="str">
        <f aca="false">IF($M16=0,"",SUMIFS(Operaciones!$G$5:$G$504,Operaciones!$B$5:$B$504,"&gt;="&amp;DATE($C$6,8,1),Operaciones!$B$5:$B$504,"&lt;"&amp;DATE($C$6,9,1)))</f>
        <v/>
      </c>
      <c r="Q16" s="97" t="str">
        <f aca="false">IF(SUM($M$9:$M16)=0,"",SUM($P$9:$P16))</f>
        <v/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customFormat="false" ht="18.75" hidden="false" customHeight="true" outlineLevel="0" collapsed="false">
      <c r="A17" s="2"/>
      <c r="B17" s="100" t="str">
        <f aca="false">IF(MONTH($N$3+14)&lt;&gt;$N$1,"",IF(SUMPRODUCT((Operaciones!$B$5:$B$504=$N$3+14)*(Operaciones!$G$5:$G$504&lt;&gt;""))=0,"",SUMPRODUCT((Operaciones!$B$5:$B$504=$N$3+14)*(Operaciones!$G$5:$G$504&lt;&gt;""))&amp;IF(SUMPRODUCT((Operaciones!$B$5:$B$504=$N$3+14)*(Operaciones!$G$5:$G$504&lt;&gt;""))=1," op"," ops")))</f>
        <v/>
      </c>
      <c r="C17" s="100" t="str">
        <f aca="false">IF(MONTH($N$3+15)&lt;&gt;$N$1,"",IF(SUMPRODUCT((Operaciones!$B$5:$B$504=$N$3+15)*(Operaciones!$G$5:$G$504&lt;&gt;""))=0,"",SUMPRODUCT((Operaciones!$B$5:$B$504=$N$3+15)*(Operaciones!$G$5:$G$504&lt;&gt;""))&amp;IF(SUMPRODUCT((Operaciones!$B$5:$B$504=$N$3+15)*(Operaciones!$G$5:$G$504&lt;&gt;""))=1," op"," ops")))</f>
        <v/>
      </c>
      <c r="D17" s="100" t="str">
        <f aca="false">IF(MONTH($N$3+16)&lt;&gt;$N$1,"",IF(SUMPRODUCT((Operaciones!$B$5:$B$504=$N$3+16)*(Operaciones!$G$5:$G$504&lt;&gt;""))=0,"",SUMPRODUCT((Operaciones!$B$5:$B$504=$N$3+16)*(Operaciones!$G$5:$G$504&lt;&gt;""))&amp;IF(SUMPRODUCT((Operaciones!$B$5:$B$504=$N$3+16)*(Operaciones!$G$5:$G$504&lt;&gt;""))=1," op"," ops")))</f>
        <v/>
      </c>
      <c r="E17" s="100" t="str">
        <f aca="false">IF(MONTH($N$3+17)&lt;&gt;$N$1,"",IF(SUMPRODUCT((Operaciones!$B$5:$B$504=$N$3+17)*(Operaciones!$G$5:$G$504&lt;&gt;""))=0,"",SUMPRODUCT((Operaciones!$B$5:$B$504=$N$3+17)*(Operaciones!$G$5:$G$504&lt;&gt;""))&amp;IF(SUMPRODUCT((Operaciones!$B$5:$B$504=$N$3+17)*(Operaciones!$G$5:$G$504&lt;&gt;""))=1," op"," ops")))</f>
        <v/>
      </c>
      <c r="F17" s="100" t="str">
        <f aca="false">IF(MONTH($N$3+18)&lt;&gt;$N$1,"",IF(SUMPRODUCT((Operaciones!$B$5:$B$504=$N$3+18)*(Operaciones!$G$5:$G$504&lt;&gt;""))=0,"",SUMPRODUCT((Operaciones!$B$5:$B$504=$N$3+18)*(Operaciones!$G$5:$G$504&lt;&gt;""))&amp;IF(SUMPRODUCT((Operaciones!$B$5:$B$504=$N$3+18)*(Operaciones!$G$5:$G$504&lt;&gt;""))=1," op"," ops")))</f>
        <v/>
      </c>
      <c r="G17" s="100" t="str">
        <f aca="false">IF(MONTH($N$3+19)&lt;&gt;$N$1,"",IF(SUMPRODUCT((Operaciones!$B$5:$B$504=$N$3+19)*(Operaciones!$G$5:$G$504&lt;&gt;""))=0,"",SUMPRODUCT((Operaciones!$B$5:$B$504=$N$3+19)*(Operaciones!$G$5:$G$504&lt;&gt;""))&amp;IF(SUMPRODUCT((Operaciones!$B$5:$B$504=$N$3+19)*(Operaciones!$G$5:$G$504&lt;&gt;""))=1," op"," ops")))</f>
        <v/>
      </c>
      <c r="H17" s="100" t="str">
        <f aca="false">IF(MONTH($N$3+20)&lt;&gt;$N$1,"",IF(SUMPRODUCT((Operaciones!$B$5:$B$504=$N$3+20)*(Operaciones!$G$5:$G$504&lt;&gt;""))=0,"",SUMPRODUCT((Operaciones!$B$5:$B$504=$N$3+20)*(Operaciones!$G$5:$G$504&lt;&gt;""))&amp;IF(SUMPRODUCT((Operaciones!$B$5:$B$504=$N$3+20)*(Operaciones!$G$5:$G$504&lt;&gt;""))=1," op"," ops")))</f>
        <v/>
      </c>
      <c r="I17" s="101"/>
      <c r="J17" s="2"/>
      <c r="K17" s="2"/>
      <c r="L17" s="72" t="s">
        <v>189</v>
      </c>
      <c r="M17" s="73" t="n">
        <f aca="false">COUNTIFS(Operaciones!$B$5:$B$504,"&gt;="&amp;DATE($C$6,9,1),Operaciones!$B$5:$B$504,"&lt;"&amp;DATE($C$6,10,1))</f>
        <v>0</v>
      </c>
      <c r="N17" s="73" t="n">
        <f aca="false">COUNTIFS(Operaciones!$B$5:$B$504,"&gt;="&amp;DATE($C$6,9,1),Operaciones!$B$5:$B$504,"&lt;"&amp;DATE($C$6,10,1),Operaciones!$G$5:$G$504,"&gt;0")</f>
        <v>0</v>
      </c>
      <c r="O17" s="73" t="n">
        <f aca="false">COUNTIFS(Operaciones!$B$5:$B$504,"&gt;="&amp;DATE($C$6,9,1),Operaciones!$B$5:$B$504,"&lt;"&amp;DATE($C$6,10,1),Operaciones!$G$5:$G$504,"&lt;0")</f>
        <v>0</v>
      </c>
      <c r="P17" s="96" t="str">
        <f aca="false">IF($M17=0,"",SUMIFS(Operaciones!$G$5:$G$504,Operaciones!$B$5:$B$504,"&gt;="&amp;DATE($C$6,9,1),Operaciones!$B$5:$B$504,"&lt;"&amp;DATE($C$6,10,1)))</f>
        <v/>
      </c>
      <c r="Q17" s="97" t="str">
        <f aca="false">IF(SUM($M$9:$M17)=0,"",SUM($P$9:$P17))</f>
        <v/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customFormat="false" ht="18.75" hidden="false" customHeight="true" outlineLevel="0" collapsed="false">
      <c r="A18" s="2"/>
      <c r="B18" s="94" t="n">
        <f aca="false">IF(MONTH($N$3+21)&lt;&gt;$N$1,"",DAY($N$3+21))</f>
        <v>20</v>
      </c>
      <c r="C18" s="94" t="n">
        <f aca="false">IF(MONTH($N$3+22)&lt;&gt;$N$1,"",DAY($N$3+22))</f>
        <v>21</v>
      </c>
      <c r="D18" s="94" t="n">
        <f aca="false">IF(MONTH($N$3+23)&lt;&gt;$N$1,"",DAY($N$3+23))</f>
        <v>22</v>
      </c>
      <c r="E18" s="94" t="n">
        <f aca="false">IF(MONTH($N$3+24)&lt;&gt;$N$1,"",DAY($N$3+24))</f>
        <v>23</v>
      </c>
      <c r="F18" s="94" t="n">
        <f aca="false">IF(MONTH($N$3+25)&lt;&gt;$N$1,"",DAY($N$3+25))</f>
        <v>24</v>
      </c>
      <c r="G18" s="94" t="n">
        <f aca="false">IF(MONTH($N$3+26)&lt;&gt;$N$1,"",DAY($N$3+26))</f>
        <v>25</v>
      </c>
      <c r="H18" s="94" t="n">
        <f aca="false">IF(MONTH($N$3+27)&lt;&gt;$N$1,"",DAY($N$3+27))</f>
        <v>26</v>
      </c>
      <c r="I18" s="95" t="s">
        <v>213</v>
      </c>
      <c r="J18" s="2"/>
      <c r="K18" s="2"/>
      <c r="L18" s="72" t="s">
        <v>214</v>
      </c>
      <c r="M18" s="73" t="n">
        <f aca="false">COUNTIFS(Operaciones!$B$5:$B$504,"&gt;="&amp;DATE($C$6,10,1),Operaciones!$B$5:$B$504,"&lt;"&amp;DATE($C$6,11,1))</f>
        <v>0</v>
      </c>
      <c r="N18" s="73" t="n">
        <f aca="false">COUNTIFS(Operaciones!$B$5:$B$504,"&gt;="&amp;DATE($C$6,10,1),Operaciones!$B$5:$B$504,"&lt;"&amp;DATE($C$6,11,1),Operaciones!$G$5:$G$504,"&gt;0")</f>
        <v>0</v>
      </c>
      <c r="O18" s="73" t="n">
        <f aca="false">COUNTIFS(Operaciones!$B$5:$B$504,"&gt;="&amp;DATE($C$6,10,1),Operaciones!$B$5:$B$504,"&lt;"&amp;DATE($C$6,11,1),Operaciones!$G$5:$G$504,"&lt;0")</f>
        <v>0</v>
      </c>
      <c r="P18" s="96" t="str">
        <f aca="false">IF($M18=0,"",SUMIFS(Operaciones!$G$5:$G$504,Operaciones!$B$5:$B$504,"&gt;="&amp;DATE($C$6,10,1),Operaciones!$B$5:$B$504,"&lt;"&amp;DATE($C$6,11,1)))</f>
        <v/>
      </c>
      <c r="Q18" s="97" t="str">
        <f aca="false">IF(SUM($M$9:$M18)=0,"",SUM($P$9:$P18))</f>
        <v/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customFormat="false" ht="18.75" hidden="false" customHeight="true" outlineLevel="0" collapsed="false">
      <c r="A19" s="2"/>
      <c r="B19" s="98" t="str">
        <f aca="false">IF(MONTH($N$3+21)&lt;&gt;$N$1,"",IF(SUMPRODUCT((Operaciones!$B$5:$B$504=$N$3+21)*(Operaciones!$G$5:$G$504&lt;&gt;""))=0,"",SUMIF(Operaciones!$B$5:$B$504,$N$3+21,Operaciones!$G$5:$G$504)))</f>
        <v/>
      </c>
      <c r="C19" s="98" t="str">
        <f aca="false">IF(MONTH($N$3+22)&lt;&gt;$N$1,"",IF(SUMPRODUCT((Operaciones!$B$5:$B$504=$N$3+22)*(Operaciones!$G$5:$G$504&lt;&gt;""))=0,"",SUMIF(Operaciones!$B$5:$B$504,$N$3+22,Operaciones!$G$5:$G$504)))</f>
        <v/>
      </c>
      <c r="D19" s="98" t="str">
        <f aca="false">IF(MONTH($N$3+23)&lt;&gt;$N$1,"",IF(SUMPRODUCT((Operaciones!$B$5:$B$504=$N$3+23)*(Operaciones!$G$5:$G$504&lt;&gt;""))=0,"",SUMIF(Operaciones!$B$5:$B$504,$N$3+23,Operaciones!$G$5:$G$504)))</f>
        <v/>
      </c>
      <c r="E19" s="98" t="str">
        <f aca="false">IF(MONTH($N$3+24)&lt;&gt;$N$1,"",IF(SUMPRODUCT((Operaciones!$B$5:$B$504=$N$3+24)*(Operaciones!$G$5:$G$504&lt;&gt;""))=0,"",SUMIF(Operaciones!$B$5:$B$504,$N$3+24,Operaciones!$G$5:$G$504)))</f>
        <v/>
      </c>
      <c r="F19" s="98" t="str">
        <f aca="false">IF(MONTH($N$3+25)&lt;&gt;$N$1,"",IF(SUMPRODUCT((Operaciones!$B$5:$B$504=$N$3+25)*(Operaciones!$G$5:$G$504&lt;&gt;""))=0,"",SUMIF(Operaciones!$B$5:$B$504,$N$3+25,Operaciones!$G$5:$G$504)))</f>
        <v/>
      </c>
      <c r="G19" s="98" t="str">
        <f aca="false">IF(MONTH($N$3+26)&lt;&gt;$N$1,"",IF(SUMPRODUCT((Operaciones!$B$5:$B$504=$N$3+26)*(Operaciones!$G$5:$G$504&lt;&gt;""))=0,"",SUMIF(Operaciones!$B$5:$B$504,$N$3+26,Operaciones!$G$5:$G$504)))</f>
        <v/>
      </c>
      <c r="H19" s="98" t="str">
        <f aca="false">IF(MONTH($N$3+27)&lt;&gt;$N$1,"",IF(SUMPRODUCT((Operaciones!$B$5:$B$504=$N$3+27)*(Operaciones!$G$5:$G$504&lt;&gt;""))=0,"",SUMIF(Operaciones!$B$5:$B$504,$N$3+27,Operaciones!$G$5:$G$504)))</f>
        <v/>
      </c>
      <c r="I19" s="99" t="str">
        <f aca="false">IF(COUNT($B19:$H19)=0,"",SUM($B19:$H19))</f>
        <v/>
      </c>
      <c r="J19" s="2"/>
      <c r="K19" s="2"/>
      <c r="L19" s="72" t="s">
        <v>215</v>
      </c>
      <c r="M19" s="73" t="n">
        <f aca="false">COUNTIFS(Operaciones!$B$5:$B$504,"&gt;="&amp;DATE($C$6,11,1),Operaciones!$B$5:$B$504,"&lt;"&amp;DATE($C$6,12,1))</f>
        <v>0</v>
      </c>
      <c r="N19" s="73" t="n">
        <f aca="false">COUNTIFS(Operaciones!$B$5:$B$504,"&gt;="&amp;DATE($C$6,11,1),Operaciones!$B$5:$B$504,"&lt;"&amp;DATE($C$6,12,1),Operaciones!$G$5:$G$504,"&gt;0")</f>
        <v>0</v>
      </c>
      <c r="O19" s="73" t="n">
        <f aca="false">COUNTIFS(Operaciones!$B$5:$B$504,"&gt;="&amp;DATE($C$6,11,1),Operaciones!$B$5:$B$504,"&lt;"&amp;DATE($C$6,12,1),Operaciones!$G$5:$G$504,"&lt;0")</f>
        <v>0</v>
      </c>
      <c r="P19" s="96" t="str">
        <f aca="false">IF($M19=0,"",SUMIFS(Operaciones!$G$5:$G$504,Operaciones!$B$5:$B$504,"&gt;="&amp;DATE($C$6,11,1),Operaciones!$B$5:$B$504,"&lt;"&amp;DATE($C$6,12,1)))</f>
        <v/>
      </c>
      <c r="Q19" s="97" t="str">
        <f aca="false">IF(SUM($M$9:$M19)=0,"",SUM($P$9:$P19))</f>
        <v/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customFormat="false" ht="18.75" hidden="false" customHeight="true" outlineLevel="0" collapsed="false">
      <c r="A20" s="2"/>
      <c r="B20" s="100" t="str">
        <f aca="false">IF(MONTH($N$3+21)&lt;&gt;$N$1,"",IF(SUMPRODUCT((Operaciones!$B$5:$B$504=$N$3+21)*(Operaciones!$G$5:$G$504&lt;&gt;""))=0,"",SUMPRODUCT((Operaciones!$B$5:$B$504=$N$3+21)*(Operaciones!$G$5:$G$504&lt;&gt;""))&amp;IF(SUMPRODUCT((Operaciones!$B$5:$B$504=$N$3+21)*(Operaciones!$G$5:$G$504&lt;&gt;""))=1," op"," ops")))</f>
        <v/>
      </c>
      <c r="C20" s="100" t="str">
        <f aca="false">IF(MONTH($N$3+22)&lt;&gt;$N$1,"",IF(SUMPRODUCT((Operaciones!$B$5:$B$504=$N$3+22)*(Operaciones!$G$5:$G$504&lt;&gt;""))=0,"",SUMPRODUCT((Operaciones!$B$5:$B$504=$N$3+22)*(Operaciones!$G$5:$G$504&lt;&gt;""))&amp;IF(SUMPRODUCT((Operaciones!$B$5:$B$504=$N$3+22)*(Operaciones!$G$5:$G$504&lt;&gt;""))=1," op"," ops")))</f>
        <v/>
      </c>
      <c r="D20" s="100" t="str">
        <f aca="false">IF(MONTH($N$3+23)&lt;&gt;$N$1,"",IF(SUMPRODUCT((Operaciones!$B$5:$B$504=$N$3+23)*(Operaciones!$G$5:$G$504&lt;&gt;""))=0,"",SUMPRODUCT((Operaciones!$B$5:$B$504=$N$3+23)*(Operaciones!$G$5:$G$504&lt;&gt;""))&amp;IF(SUMPRODUCT((Operaciones!$B$5:$B$504=$N$3+23)*(Operaciones!$G$5:$G$504&lt;&gt;""))=1," op"," ops")))</f>
        <v/>
      </c>
      <c r="E20" s="100" t="str">
        <f aca="false">IF(MONTH($N$3+24)&lt;&gt;$N$1,"",IF(SUMPRODUCT((Operaciones!$B$5:$B$504=$N$3+24)*(Operaciones!$G$5:$G$504&lt;&gt;""))=0,"",SUMPRODUCT((Operaciones!$B$5:$B$504=$N$3+24)*(Operaciones!$G$5:$G$504&lt;&gt;""))&amp;IF(SUMPRODUCT((Operaciones!$B$5:$B$504=$N$3+24)*(Operaciones!$G$5:$G$504&lt;&gt;""))=1," op"," ops")))</f>
        <v/>
      </c>
      <c r="F20" s="100" t="str">
        <f aca="false">IF(MONTH($N$3+25)&lt;&gt;$N$1,"",IF(SUMPRODUCT((Operaciones!$B$5:$B$504=$N$3+25)*(Operaciones!$G$5:$G$504&lt;&gt;""))=0,"",SUMPRODUCT((Operaciones!$B$5:$B$504=$N$3+25)*(Operaciones!$G$5:$G$504&lt;&gt;""))&amp;IF(SUMPRODUCT((Operaciones!$B$5:$B$504=$N$3+25)*(Operaciones!$G$5:$G$504&lt;&gt;""))=1," op"," ops")))</f>
        <v/>
      </c>
      <c r="G20" s="100" t="str">
        <f aca="false">IF(MONTH($N$3+26)&lt;&gt;$N$1,"",IF(SUMPRODUCT((Operaciones!$B$5:$B$504=$N$3+26)*(Operaciones!$G$5:$G$504&lt;&gt;""))=0,"",SUMPRODUCT((Operaciones!$B$5:$B$504=$N$3+26)*(Operaciones!$G$5:$G$504&lt;&gt;""))&amp;IF(SUMPRODUCT((Operaciones!$B$5:$B$504=$N$3+26)*(Operaciones!$G$5:$G$504&lt;&gt;""))=1," op"," ops")))</f>
        <v/>
      </c>
      <c r="H20" s="100" t="str">
        <f aca="false">IF(MONTH($N$3+27)&lt;&gt;$N$1,"",IF(SUMPRODUCT((Operaciones!$B$5:$B$504=$N$3+27)*(Operaciones!$G$5:$G$504&lt;&gt;""))=0,"",SUMPRODUCT((Operaciones!$B$5:$B$504=$N$3+27)*(Operaciones!$G$5:$G$504&lt;&gt;""))&amp;IF(SUMPRODUCT((Operaciones!$B$5:$B$504=$N$3+27)*(Operaciones!$G$5:$G$504&lt;&gt;""))=1," op"," ops")))</f>
        <v/>
      </c>
      <c r="I20" s="101"/>
      <c r="J20" s="2"/>
      <c r="K20" s="2"/>
      <c r="L20" s="72" t="s">
        <v>216</v>
      </c>
      <c r="M20" s="73" t="n">
        <f aca="false">COUNTIFS(Operaciones!$B$5:$B$504,"&gt;="&amp;DATE($C$6,12,1),Operaciones!$B$5:$B$504,"&lt;"&amp;DATE($C$6,13,1))</f>
        <v>0</v>
      </c>
      <c r="N20" s="73" t="n">
        <f aca="false">COUNTIFS(Operaciones!$B$5:$B$504,"&gt;="&amp;DATE($C$6,12,1),Operaciones!$B$5:$B$504,"&lt;"&amp;DATE($C$6,13,1),Operaciones!$G$5:$G$504,"&gt;0")</f>
        <v>0</v>
      </c>
      <c r="O20" s="73" t="n">
        <f aca="false">COUNTIFS(Operaciones!$B$5:$B$504,"&gt;="&amp;DATE($C$6,12,1),Operaciones!$B$5:$B$504,"&lt;"&amp;DATE($C$6,13,1),Operaciones!$G$5:$G$504,"&lt;0")</f>
        <v>0</v>
      </c>
      <c r="P20" s="96" t="str">
        <f aca="false">IF($M20=0,"",SUMIFS(Operaciones!$G$5:$G$504,Operaciones!$B$5:$B$504,"&gt;="&amp;DATE($C$6,12,1),Operaciones!$B$5:$B$504,"&lt;"&amp;DATE($C$6,13,1)))</f>
        <v/>
      </c>
      <c r="Q20" s="97" t="str">
        <f aca="false">IF(SUM($M$9:$M20)=0,"",SUM($P$9:$P20))</f>
        <v/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customFormat="false" ht="18" hidden="false" customHeight="true" outlineLevel="0" collapsed="false">
      <c r="A21" s="2"/>
      <c r="B21" s="94" t="n">
        <f aca="false">IF(MONTH($N$3+28)&lt;&gt;$N$1,"",DAY($N$3+28))</f>
        <v>27</v>
      </c>
      <c r="C21" s="94" t="n">
        <f aca="false">IF(MONTH($N$3+29)&lt;&gt;$N$1,"",DAY($N$3+29))</f>
        <v>28</v>
      </c>
      <c r="D21" s="94" t="n">
        <f aca="false">IF(MONTH($N$3+30)&lt;&gt;$N$1,"",DAY($N$3+30))</f>
        <v>29</v>
      </c>
      <c r="E21" s="94" t="n">
        <f aca="false">IF(MONTH($N$3+31)&lt;&gt;$N$1,"",DAY($N$3+31))</f>
        <v>30</v>
      </c>
      <c r="F21" s="94" t="str">
        <f aca="false">IF(MONTH($N$3+32)&lt;&gt;$N$1,"",DAY($N$3+32))</f>
        <v/>
      </c>
      <c r="G21" s="94" t="str">
        <f aca="false">IF(MONTH($N$3+33)&lt;&gt;$N$1,"",DAY($N$3+33))</f>
        <v/>
      </c>
      <c r="H21" s="94" t="str">
        <f aca="false">IF(MONTH($N$3+34)&lt;&gt;$N$1,"",DAY($N$3+34))</f>
        <v/>
      </c>
      <c r="I21" s="95" t="s">
        <v>217</v>
      </c>
      <c r="J21" s="2"/>
      <c r="K21" s="2"/>
      <c r="L21" s="2"/>
      <c r="M21" s="2"/>
      <c r="N21" s="2"/>
      <c r="O21" s="3"/>
      <c r="P21" s="3"/>
      <c r="Q21" s="102" t="s">
        <v>218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customFormat="false" ht="24" hidden="false" customHeight="true" outlineLevel="0" collapsed="false">
      <c r="A22" s="2"/>
      <c r="B22" s="98" t="str">
        <f aca="false">IF(MONTH($N$3+28)&lt;&gt;$N$1,"",IF(SUMPRODUCT((Operaciones!$B$5:$B$504=$N$3+28)*(Operaciones!$G$5:$G$504&lt;&gt;""))=0,"",SUMIF(Operaciones!$B$5:$B$504,$N$3+28,Operaciones!$G$5:$G$504)))</f>
        <v/>
      </c>
      <c r="C22" s="98" t="str">
        <f aca="false">IF(MONTH($N$3+29)&lt;&gt;$N$1,"",IF(SUMPRODUCT((Operaciones!$B$5:$B$504=$N$3+29)*(Operaciones!$G$5:$G$504&lt;&gt;""))=0,"",SUMIF(Operaciones!$B$5:$B$504,$N$3+29,Operaciones!$G$5:$G$504)))</f>
        <v/>
      </c>
      <c r="D22" s="98" t="str">
        <f aca="false">IF(MONTH($N$3+30)&lt;&gt;$N$1,"",IF(SUMPRODUCT((Operaciones!$B$5:$B$504=$N$3+30)*(Operaciones!$G$5:$G$504&lt;&gt;""))=0,"",SUMIF(Operaciones!$B$5:$B$504,$N$3+30,Operaciones!$G$5:$G$504)))</f>
        <v/>
      </c>
      <c r="E22" s="98" t="str">
        <f aca="false">IF(MONTH($N$3+31)&lt;&gt;$N$1,"",IF(SUMPRODUCT((Operaciones!$B$5:$B$504=$N$3+31)*(Operaciones!$G$5:$G$504&lt;&gt;""))=0,"",SUMIF(Operaciones!$B$5:$B$504,$N$3+31,Operaciones!$G$5:$G$504)))</f>
        <v/>
      </c>
      <c r="F22" s="98" t="str">
        <f aca="false">IF(MONTH($N$3+32)&lt;&gt;$N$1,"",IF(SUMPRODUCT((Operaciones!$B$5:$B$504=$N$3+32)*(Operaciones!$G$5:$G$504&lt;&gt;""))=0,"",SUMIF(Operaciones!$B$5:$B$504,$N$3+32,Operaciones!$G$5:$G$504)))</f>
        <v/>
      </c>
      <c r="G22" s="98" t="str">
        <f aca="false">IF(MONTH($N$3+33)&lt;&gt;$N$1,"",IF(SUMPRODUCT((Operaciones!$B$5:$B$504=$N$3+33)*(Operaciones!$G$5:$G$504&lt;&gt;""))=0,"",SUMIF(Operaciones!$B$5:$B$504,$N$3+33,Operaciones!$G$5:$G$504)))</f>
        <v/>
      </c>
      <c r="H22" s="98" t="str">
        <f aca="false">IF(MONTH($N$3+34)&lt;&gt;$N$1,"",IF(SUMPRODUCT((Operaciones!$B$5:$B$504=$N$3+34)*(Operaciones!$G$5:$G$504&lt;&gt;""))=0,"",SUMIF(Operaciones!$B$5:$B$504,$N$3+34,Operaciones!$G$5:$G$504)))</f>
        <v/>
      </c>
      <c r="I22" s="99" t="str">
        <f aca="false">IF(COUNT($B22:$H22)=0,"",SUM($B22:$H22))</f>
        <v/>
      </c>
      <c r="J22" s="2"/>
      <c r="K22" s="2"/>
      <c r="L22" s="103" t="s">
        <v>219</v>
      </c>
      <c r="M22" s="104" t="n">
        <f aca="false">SUM($M$9:$M$20)</f>
        <v>0</v>
      </c>
      <c r="N22" s="104" t="n">
        <f aca="false">SUM($N$9:$N$20)</f>
        <v>0</v>
      </c>
      <c r="O22" s="104" t="n">
        <f aca="false">SUM($O$9:$O$20)</f>
        <v>0</v>
      </c>
      <c r="P22" s="105" t="str">
        <f aca="false">IF($M22=0,"",SUM($P$9:$P$20))</f>
        <v/>
      </c>
      <c r="Q22" s="106" t="str">
        <f aca="false">IF($M22=0,"",IFERROR($N22/($N22+$O22),""))</f>
        <v/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customFormat="false" ht="15" hidden="false" customHeight="true" outlineLevel="0" collapsed="false">
      <c r="A23" s="2"/>
      <c r="B23" s="100" t="str">
        <f aca="false">IF(MONTH($N$3+28)&lt;&gt;$N$1,"",IF(SUMPRODUCT((Operaciones!$B$5:$B$504=$N$3+28)*(Operaciones!$G$5:$G$504&lt;&gt;""))=0,"",SUMPRODUCT((Operaciones!$B$5:$B$504=$N$3+28)*(Operaciones!$G$5:$G$504&lt;&gt;""))&amp;IF(SUMPRODUCT((Operaciones!$B$5:$B$504=$N$3+28)*(Operaciones!$G$5:$G$504&lt;&gt;""))=1," op"," ops")))</f>
        <v/>
      </c>
      <c r="C23" s="100" t="str">
        <f aca="false">IF(MONTH($N$3+29)&lt;&gt;$N$1,"",IF(SUMPRODUCT((Operaciones!$B$5:$B$504=$N$3+29)*(Operaciones!$G$5:$G$504&lt;&gt;""))=0,"",SUMPRODUCT((Operaciones!$B$5:$B$504=$N$3+29)*(Operaciones!$G$5:$G$504&lt;&gt;""))&amp;IF(SUMPRODUCT((Operaciones!$B$5:$B$504=$N$3+29)*(Operaciones!$G$5:$G$504&lt;&gt;""))=1," op"," ops")))</f>
        <v/>
      </c>
      <c r="D23" s="100" t="str">
        <f aca="false">IF(MONTH($N$3+30)&lt;&gt;$N$1,"",IF(SUMPRODUCT((Operaciones!$B$5:$B$504=$N$3+30)*(Operaciones!$G$5:$G$504&lt;&gt;""))=0,"",SUMPRODUCT((Operaciones!$B$5:$B$504=$N$3+30)*(Operaciones!$G$5:$G$504&lt;&gt;""))&amp;IF(SUMPRODUCT((Operaciones!$B$5:$B$504=$N$3+30)*(Operaciones!$G$5:$G$504&lt;&gt;""))=1," op"," ops")))</f>
        <v/>
      </c>
      <c r="E23" s="100" t="str">
        <f aca="false">IF(MONTH($N$3+31)&lt;&gt;$N$1,"",IF(SUMPRODUCT((Operaciones!$B$5:$B$504=$N$3+31)*(Operaciones!$G$5:$G$504&lt;&gt;""))=0,"",SUMPRODUCT((Operaciones!$B$5:$B$504=$N$3+31)*(Operaciones!$G$5:$G$504&lt;&gt;""))&amp;IF(SUMPRODUCT((Operaciones!$B$5:$B$504=$N$3+31)*(Operaciones!$G$5:$G$504&lt;&gt;""))=1," op"," ops")))</f>
        <v/>
      </c>
      <c r="F23" s="100" t="str">
        <f aca="false">IF(MONTH($N$3+32)&lt;&gt;$N$1,"",IF(SUMPRODUCT((Operaciones!$B$5:$B$504=$N$3+32)*(Operaciones!$G$5:$G$504&lt;&gt;""))=0,"",SUMPRODUCT((Operaciones!$B$5:$B$504=$N$3+32)*(Operaciones!$G$5:$G$504&lt;&gt;""))&amp;IF(SUMPRODUCT((Operaciones!$B$5:$B$504=$N$3+32)*(Operaciones!$G$5:$G$504&lt;&gt;""))=1," op"," ops")))</f>
        <v/>
      </c>
      <c r="G23" s="100" t="str">
        <f aca="false">IF(MONTH($N$3+33)&lt;&gt;$N$1,"",IF(SUMPRODUCT((Operaciones!$B$5:$B$504=$N$3+33)*(Operaciones!$G$5:$G$504&lt;&gt;""))=0,"",SUMPRODUCT((Operaciones!$B$5:$B$504=$N$3+33)*(Operaciones!$G$5:$G$504&lt;&gt;""))&amp;IF(SUMPRODUCT((Operaciones!$B$5:$B$504=$N$3+33)*(Operaciones!$G$5:$G$504&lt;&gt;""))=1," op"," ops")))</f>
        <v/>
      </c>
      <c r="H23" s="100" t="str">
        <f aca="false">IF(MONTH($N$3+34)&lt;&gt;$N$1,"",IF(SUMPRODUCT((Operaciones!$B$5:$B$504=$N$3+34)*(Operaciones!$G$5:$G$504&lt;&gt;""))=0,"",SUMPRODUCT((Operaciones!$B$5:$B$504=$N$3+34)*(Operaciones!$G$5:$G$504&lt;&gt;""))&amp;IF(SUMPRODUCT((Operaciones!$B$5:$B$504=$N$3+34)*(Operaciones!$G$5:$G$504&lt;&gt;""))=1," op"," ops")))</f>
        <v/>
      </c>
      <c r="I23" s="101"/>
      <c r="J23" s="2"/>
      <c r="K23" s="2"/>
      <c r="L23" s="2"/>
      <c r="M23" s="2"/>
      <c r="N23" s="2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customFormat="false" ht="18" hidden="false" customHeight="true" outlineLevel="0" collapsed="false">
      <c r="A24" s="2"/>
      <c r="B24" s="94" t="str">
        <f aca="false">IF(MONTH($N$3+35)&lt;&gt;$N$1,"",DAY($N$3+35))</f>
        <v/>
      </c>
      <c r="C24" s="94" t="str">
        <f aca="false">IF(MONTH($N$3+36)&lt;&gt;$N$1,"",DAY($N$3+36))</f>
        <v/>
      </c>
      <c r="D24" s="94" t="str">
        <f aca="false">IF(MONTH($N$3+37)&lt;&gt;$N$1,"",DAY($N$3+37))</f>
        <v/>
      </c>
      <c r="E24" s="94" t="str">
        <f aca="false">IF(MONTH($N$3+38)&lt;&gt;$N$1,"",DAY($N$3+38))</f>
        <v/>
      </c>
      <c r="F24" s="94" t="str">
        <f aca="false">IF(MONTH($N$3+39)&lt;&gt;$N$1,"",DAY($N$3+39))</f>
        <v/>
      </c>
      <c r="G24" s="94" t="str">
        <f aca="false">IF(MONTH($N$3+40)&lt;&gt;$N$1,"",DAY($N$3+40))</f>
        <v/>
      </c>
      <c r="H24" s="94" t="str">
        <f aca="false">IF(MONTH($N$3+41)&lt;&gt;$N$1,"",DAY($N$3+41))</f>
        <v/>
      </c>
      <c r="I24" s="95" t="s">
        <v>220</v>
      </c>
      <c r="J24" s="2"/>
      <c r="K24" s="2"/>
      <c r="L24" s="89" t="s">
        <v>221</v>
      </c>
      <c r="M24" s="89"/>
      <c r="N24" s="89"/>
      <c r="O24" s="89"/>
      <c r="P24" s="89"/>
      <c r="Q24" s="89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customFormat="false" ht="24" hidden="false" customHeight="true" outlineLevel="0" collapsed="false">
      <c r="A25" s="2"/>
      <c r="B25" s="98" t="str">
        <f aca="false">IF(MONTH($N$3+35)&lt;&gt;$N$1,"",IF(SUMPRODUCT((Operaciones!$B$5:$B$504=$N$3+35)*(Operaciones!$G$5:$G$504&lt;&gt;""))=0,"",SUMIF(Operaciones!$B$5:$B$504,$N$3+35,Operaciones!$G$5:$G$504)))</f>
        <v/>
      </c>
      <c r="C25" s="98" t="str">
        <f aca="false">IF(MONTH($N$3+36)&lt;&gt;$N$1,"",IF(SUMPRODUCT((Operaciones!$B$5:$B$504=$N$3+36)*(Operaciones!$G$5:$G$504&lt;&gt;""))=0,"",SUMIF(Operaciones!$B$5:$B$504,$N$3+36,Operaciones!$G$5:$G$504)))</f>
        <v/>
      </c>
      <c r="D25" s="98" t="str">
        <f aca="false">IF(MONTH($N$3+37)&lt;&gt;$N$1,"",IF(SUMPRODUCT((Operaciones!$B$5:$B$504=$N$3+37)*(Operaciones!$G$5:$G$504&lt;&gt;""))=0,"",SUMIF(Operaciones!$B$5:$B$504,$N$3+37,Operaciones!$G$5:$G$504)))</f>
        <v/>
      </c>
      <c r="E25" s="98" t="str">
        <f aca="false">IF(MONTH($N$3+38)&lt;&gt;$N$1,"",IF(SUMPRODUCT((Operaciones!$B$5:$B$504=$N$3+38)*(Operaciones!$G$5:$G$504&lt;&gt;""))=0,"",SUMIF(Operaciones!$B$5:$B$504,$N$3+38,Operaciones!$G$5:$G$504)))</f>
        <v/>
      </c>
      <c r="F25" s="98" t="str">
        <f aca="false">IF(MONTH($N$3+39)&lt;&gt;$N$1,"",IF(SUMPRODUCT((Operaciones!$B$5:$B$504=$N$3+39)*(Operaciones!$G$5:$G$504&lt;&gt;""))=0,"",SUMIF(Operaciones!$B$5:$B$504,$N$3+39,Operaciones!$G$5:$G$504)))</f>
        <v/>
      </c>
      <c r="G25" s="98" t="str">
        <f aca="false">IF(MONTH($N$3+40)&lt;&gt;$N$1,"",IF(SUMPRODUCT((Operaciones!$B$5:$B$504=$N$3+40)*(Operaciones!$G$5:$G$504&lt;&gt;""))=0,"",SUMIF(Operaciones!$B$5:$B$504,$N$3+40,Operaciones!$G$5:$G$504)))</f>
        <v/>
      </c>
      <c r="H25" s="98" t="str">
        <f aca="false">IF(MONTH($N$3+41)&lt;&gt;$N$1,"",IF(SUMPRODUCT((Operaciones!$B$5:$B$504=$N$3+41)*(Operaciones!$G$5:$G$504&lt;&gt;""))=0,"",SUMIF(Operaciones!$B$5:$B$504,$N$3+41,Operaciones!$G$5:$G$504)))</f>
        <v/>
      </c>
      <c r="I25" s="99" t="str">
        <f aca="false">IF(COUNT($B25:$H25)=0,"",SUM($B25:$H25))</f>
        <v/>
      </c>
      <c r="J25" s="2"/>
      <c r="K25" s="2"/>
      <c r="L25" s="2"/>
      <c r="M25" s="2"/>
      <c r="N25" s="2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customFormat="false" ht="15" hidden="false" customHeight="true" outlineLevel="0" collapsed="false">
      <c r="A26" s="2"/>
      <c r="B26" s="100" t="str">
        <f aca="false">IF(MONTH($N$3+35)&lt;&gt;$N$1,"",IF(SUMPRODUCT((Operaciones!$B$5:$B$504=$N$3+35)*(Operaciones!$G$5:$G$504&lt;&gt;""))=0,"",SUMPRODUCT((Operaciones!$B$5:$B$504=$N$3+35)*(Operaciones!$G$5:$G$504&lt;&gt;""))&amp;IF(SUMPRODUCT((Operaciones!$B$5:$B$504=$N$3+35)*(Operaciones!$G$5:$G$504&lt;&gt;""))=1," op"," ops")))</f>
        <v/>
      </c>
      <c r="C26" s="100" t="str">
        <f aca="false">IF(MONTH($N$3+36)&lt;&gt;$N$1,"",IF(SUMPRODUCT((Operaciones!$B$5:$B$504=$N$3+36)*(Operaciones!$G$5:$G$504&lt;&gt;""))=0,"",SUMPRODUCT((Operaciones!$B$5:$B$504=$N$3+36)*(Operaciones!$G$5:$G$504&lt;&gt;""))&amp;IF(SUMPRODUCT((Operaciones!$B$5:$B$504=$N$3+36)*(Operaciones!$G$5:$G$504&lt;&gt;""))=1," op"," ops")))</f>
        <v/>
      </c>
      <c r="D26" s="100" t="str">
        <f aca="false">IF(MONTH($N$3+37)&lt;&gt;$N$1,"",IF(SUMPRODUCT((Operaciones!$B$5:$B$504=$N$3+37)*(Operaciones!$G$5:$G$504&lt;&gt;""))=0,"",SUMPRODUCT((Operaciones!$B$5:$B$504=$N$3+37)*(Operaciones!$G$5:$G$504&lt;&gt;""))&amp;IF(SUMPRODUCT((Operaciones!$B$5:$B$504=$N$3+37)*(Operaciones!$G$5:$G$504&lt;&gt;""))=1," op"," ops")))</f>
        <v/>
      </c>
      <c r="E26" s="100" t="str">
        <f aca="false">IF(MONTH($N$3+38)&lt;&gt;$N$1,"",IF(SUMPRODUCT((Operaciones!$B$5:$B$504=$N$3+38)*(Operaciones!$G$5:$G$504&lt;&gt;""))=0,"",SUMPRODUCT((Operaciones!$B$5:$B$504=$N$3+38)*(Operaciones!$G$5:$G$504&lt;&gt;""))&amp;IF(SUMPRODUCT((Operaciones!$B$5:$B$504=$N$3+38)*(Operaciones!$G$5:$G$504&lt;&gt;""))=1," op"," ops")))</f>
        <v/>
      </c>
      <c r="F26" s="100" t="str">
        <f aca="false">IF(MONTH($N$3+39)&lt;&gt;$N$1,"",IF(SUMPRODUCT((Operaciones!$B$5:$B$504=$N$3+39)*(Operaciones!$G$5:$G$504&lt;&gt;""))=0,"",SUMPRODUCT((Operaciones!$B$5:$B$504=$N$3+39)*(Operaciones!$G$5:$G$504&lt;&gt;""))&amp;IF(SUMPRODUCT((Operaciones!$B$5:$B$504=$N$3+39)*(Operaciones!$G$5:$G$504&lt;&gt;""))=1," op"," ops")))</f>
        <v/>
      </c>
      <c r="G26" s="100" t="str">
        <f aca="false">IF(MONTH($N$3+40)&lt;&gt;$N$1,"",IF(SUMPRODUCT((Operaciones!$B$5:$B$504=$N$3+40)*(Operaciones!$G$5:$G$504&lt;&gt;""))=0,"",SUMPRODUCT((Operaciones!$B$5:$B$504=$N$3+40)*(Operaciones!$G$5:$G$504&lt;&gt;""))&amp;IF(SUMPRODUCT((Operaciones!$B$5:$B$504=$N$3+40)*(Operaciones!$G$5:$G$504&lt;&gt;""))=1," op"," ops")))</f>
        <v/>
      </c>
      <c r="H26" s="100" t="str">
        <f aca="false">IF(MONTH($N$3+41)&lt;&gt;$N$1,"",IF(SUMPRODUCT((Operaciones!$B$5:$B$504=$N$3+41)*(Operaciones!$G$5:$G$504&lt;&gt;""))=0,"",SUMPRODUCT((Operaciones!$B$5:$B$504=$N$3+41)*(Operaciones!$G$5:$G$504&lt;&gt;""))&amp;IF(SUMPRODUCT((Operaciones!$B$5:$B$504=$N$3+41)*(Operaciones!$G$5:$G$504&lt;&gt;""))=1," op"," ops")))</f>
        <v/>
      </c>
      <c r="I26" s="101"/>
      <c r="J26" s="2"/>
      <c r="K26" s="2"/>
      <c r="L26" s="2"/>
      <c r="M26" s="2"/>
      <c r="N26" s="2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customFormat="false" ht="15" hidden="false" customHeight="true" outlineLevel="0" collapsed="fals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customFormat="false" ht="15" hidden="false" customHeight="true" outlineLevel="0" collapsed="false">
      <c r="A28" s="2"/>
      <c r="B28" s="74" t="s">
        <v>222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customFormat="false" ht="21.75" hidden="false" customHeight="true" outlineLevel="0" collapsed="false">
      <c r="A29" s="2"/>
      <c r="B29" s="75" t="s">
        <v>223</v>
      </c>
      <c r="C29" s="107" t="n">
        <f aca="false">IFERROR(SUM($B10:$H10),0)+IFERROR(SUM($B13:$H13),0)+IFERROR(SUM($B16:$H16),0)+IFERROR(SUM($B19:$H19),0)+IFERROR(SUM($B22:$H22),0)+IFERROR(SUM($B25:$H25),0)</f>
        <v>0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customFormat="false" ht="21.75" hidden="false" customHeight="true" outlineLevel="0" collapsed="false">
      <c r="A30" s="2"/>
      <c r="B30" s="75" t="s">
        <v>224</v>
      </c>
      <c r="C30" s="108" t="n">
        <f aca="false">COUNTIF($B10:$H10,"&gt;0")+COUNTIF($B13:$H13,"&gt;0")+COUNTIF($B16:$H16,"&gt;0")+COUNTIF($B19:$H19,"&gt;0")+COUNTIF($B22:$H22,"&gt;0")+COUNTIF($B25:$H25,"&gt;0")</f>
        <v>0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customFormat="false" ht="21.75" hidden="false" customHeight="true" outlineLevel="0" collapsed="false">
      <c r="A31" s="2"/>
      <c r="B31" s="75" t="s">
        <v>225</v>
      </c>
      <c r="C31" s="109" t="n">
        <f aca="false">COUNTIF($B10:$H10,"&lt;0")+COUNTIF($B13:$H13,"&lt;0")+COUNTIF($B16:$H16,"&lt;0")+COUNTIF($B19:$H19,"&lt;0")+COUNTIF($B22:$H22,"&lt;0")+COUNTIF($B25:$H25,"&lt;0")</f>
        <v>0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customFormat="false" ht="21.75" hidden="false" customHeight="true" outlineLevel="0" collapsed="false">
      <c r="A32" s="2"/>
      <c r="B32" s="75" t="s">
        <v>92</v>
      </c>
      <c r="C32" s="110" t="n">
        <f aca="false">COUNTIF($B10:$H10,"&gt;0")+COUNTIF($B13:$H13,"&gt;0")+COUNTIF($B16:$H16,"&gt;0")+COUNTIF($B19:$H19,"&gt;0")+COUNTIF($B22:$H22,"&gt;0")+COUNTIF($B25:$H25,"&gt;0")+COUNTIF($B10:$H10,"&lt;0")+COUNTIF($B13:$H13,"&lt;0")+COUNTIF($B16:$H16,"&lt;0")+COUNTIF($B19:$H19,"&lt;0")+COUNTIF($B22:$H22,"&lt;0")+COUNTIF($B25:$H25,"&lt;0")+COUNTIF($B10:$H10,"=0")+COUNTIF($B13:$H13,"=0")+COUNTIF($B16:$H16,"=0")+COUNTIF($B19:$H19,"=0")+COUNTIF($B22:$H22,"=0")+COUNTIF($B25:$H25,"=0")</f>
        <v>0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customFormat="false" ht="21.75" hidden="false" customHeight="true" outlineLevel="0" collapsed="false">
      <c r="A33" s="2"/>
      <c r="B33" s="75" t="s">
        <v>226</v>
      </c>
      <c r="C33" s="111" t="n">
        <f aca="false">IFERROR(MAX($B10:$H10,$B13:$H13,$B16:$H16,$B19:$H19,$B22:$H22,$B25:$H25),"")</f>
        <v>0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customFormat="false" ht="21.75" hidden="false" customHeight="true" outlineLevel="0" collapsed="false">
      <c r="A34" s="2"/>
      <c r="B34" s="75" t="s">
        <v>227</v>
      </c>
      <c r="C34" s="112" t="n">
        <f aca="false">IFERROR(MIN($B10:$H10,$B13:$H13,$B16:$H16,$B19:$H19,$B22:$H22,$B25:$H25),"")</f>
        <v>0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customFormat="false" ht="15" hidden="false" customHeight="true" outlineLevel="0" collapsed="fals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customFormat="false" ht="15" hidden="false" customHeight="true" outlineLevel="0" collapsed="fals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customFormat="false" ht="15" hidden="false" customHeight="true" outlineLevel="0" collapsed="false">
      <c r="A37" s="2"/>
      <c r="B37" s="8" t="s">
        <v>228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customFormat="false" ht="15" hidden="false" customHeight="true" outlineLevel="0" collapsed="fals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customFormat="false" ht="15" hidden="false" customHeight="true" outlineLevel="0" collapsed="fals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customFormat="false" ht="15" hidden="false" customHeight="true" outlineLevel="0" collapsed="fals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customFormat="false" ht="15" hidden="false" customHeight="true" outlineLevel="0" collapsed="fals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customFormat="false" ht="15" hidden="false" customHeight="true" outlineLevel="0" collapsed="fals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customFormat="false" ht="15" hidden="false" customHeight="true" outlineLevel="0" collapsed="fals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customFormat="false" ht="15" hidden="false" customHeight="true" outlineLevel="0" collapsed="fals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customFormat="false" ht="15" hidden="false" customHeight="true" outlineLevel="0" collapsed="fals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customFormat="false" ht="15" hidden="false" customHeight="true" outlineLevel="0" collapsed="fals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customFormat="false" ht="15" hidden="false" customHeight="true" outlineLevel="0" collapsed="fals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customFormat="false" ht="15" hidden="false" customHeight="true" outlineLevel="0" collapsed="fals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customFormat="false" ht="15" hidden="false" customHeight="true" outlineLevel="0" collapsed="fals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customFormat="false" ht="15" hidden="false" customHeight="true" outlineLevel="0" collapsed="fals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customFormat="false" ht="15" hidden="false" customHeight="true" outlineLevel="0" collapsed="fals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customFormat="false" ht="15" hidden="false" customHeight="true" outlineLevel="0" collapsed="fals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customFormat="false" ht="15" hidden="false" customHeight="true" outlineLevel="0" collapsed="fals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customFormat="false" ht="15" hidden="false" customHeight="true" outlineLevel="0" collapsed="fals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customFormat="false" ht="15" hidden="false" customHeight="true" outlineLevel="0" collapsed="fals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customFormat="false" ht="15" hidden="false" customHeight="true" outlineLevel="0" collapsed="false">
      <c r="A56" s="2"/>
      <c r="B56" s="32" t="s">
        <v>76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customFormat="false" ht="15" hidden="false" customHeight="true" outlineLevel="0" collapsed="false">
      <c r="A57" s="2"/>
      <c r="B57" s="30" t="s">
        <v>77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customFormat="false" ht="15" hidden="false" customHeight="true" outlineLevel="0" collapsed="fals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customFormat="false" ht="15" hidden="false" customHeight="true" outlineLevel="0" collapsed="fals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customFormat="false" ht="15" hidden="false" customHeight="true" outlineLevel="0" collapsed="fals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customFormat="false" ht="15" hidden="false" customHeight="tru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customFormat="false" ht="15" hidden="false" customHeight="tru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customFormat="false" ht="15" hidden="false" customHeight="tru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customFormat="false" ht="15" hidden="false" customHeight="tru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customFormat="false" ht="15" hidden="false" customHeight="tru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customFormat="false" ht="15" hidden="false" customHeight="tru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customFormat="false" ht="15" hidden="false" customHeight="tru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customFormat="false" ht="15" hidden="false" customHeight="tru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customFormat="false" ht="15" hidden="false" customHeight="tru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customFormat="false" ht="15" hidden="false" customHeight="tru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customFormat="false" ht="15" hidden="false" customHeight="tru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customFormat="false" ht="15" hidden="false" customHeight="tru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</sheetData>
  <mergeCells count="1">
    <mergeCell ref="L24:Q24"/>
  </mergeCells>
  <conditionalFormatting sqref="B10:H10">
    <cfRule type="expression" priority="2" aboveAverage="0" equalAverage="0" bottom="0" percent="0" rank="0" text="" dxfId="9">
      <formula>AND(B10&lt;&gt;"",B10&gt;0)</formula>
    </cfRule>
    <cfRule type="expression" priority="3" aboveAverage="0" equalAverage="0" bottom="0" percent="0" rank="0" text="" dxfId="10">
      <formula>AND(B10&lt;&gt;"",B10&lt;0)</formula>
    </cfRule>
  </conditionalFormatting>
  <conditionalFormatting sqref="I10">
    <cfRule type="expression" priority="4" aboveAverage="0" equalAverage="0" bottom="0" percent="0" rank="0" text="" dxfId="9">
      <formula>AND($I10&lt;&gt;"",$I10&gt;0)</formula>
    </cfRule>
    <cfRule type="expression" priority="5" aboveAverage="0" equalAverage="0" bottom="0" percent="0" rank="0" text="" dxfId="10">
      <formula>AND($I10&lt;&gt;"",$I10&lt;0)</formula>
    </cfRule>
  </conditionalFormatting>
  <conditionalFormatting sqref="B13:H13">
    <cfRule type="expression" priority="6" aboveAverage="0" equalAverage="0" bottom="0" percent="0" rank="0" text="" dxfId="9">
      <formula>AND(B13&lt;&gt;"",B13&gt;0)</formula>
    </cfRule>
    <cfRule type="expression" priority="7" aboveAverage="0" equalAverage="0" bottom="0" percent="0" rank="0" text="" dxfId="10">
      <formula>AND(B13&lt;&gt;"",B13&lt;0)</formula>
    </cfRule>
  </conditionalFormatting>
  <conditionalFormatting sqref="I13">
    <cfRule type="expression" priority="8" aboveAverage="0" equalAverage="0" bottom="0" percent="0" rank="0" text="" dxfId="9">
      <formula>AND($I13&lt;&gt;"",$I13&gt;0)</formula>
    </cfRule>
    <cfRule type="expression" priority="9" aboveAverage="0" equalAverage="0" bottom="0" percent="0" rank="0" text="" dxfId="10">
      <formula>AND($I13&lt;&gt;"",$I13&lt;0)</formula>
    </cfRule>
  </conditionalFormatting>
  <conditionalFormatting sqref="B16:H16">
    <cfRule type="expression" priority="10" aboveAverage="0" equalAverage="0" bottom="0" percent="0" rank="0" text="" dxfId="9">
      <formula>AND(B16&lt;&gt;"",B16&gt;0)</formula>
    </cfRule>
    <cfRule type="expression" priority="11" aboveAverage="0" equalAverage="0" bottom="0" percent="0" rank="0" text="" dxfId="10">
      <formula>AND(B16&lt;&gt;"",B16&lt;0)</formula>
    </cfRule>
  </conditionalFormatting>
  <conditionalFormatting sqref="I16">
    <cfRule type="expression" priority="12" aboveAverage="0" equalAverage="0" bottom="0" percent="0" rank="0" text="" dxfId="9">
      <formula>AND($I16&lt;&gt;"",$I16&gt;0)</formula>
    </cfRule>
    <cfRule type="expression" priority="13" aboveAverage="0" equalAverage="0" bottom="0" percent="0" rank="0" text="" dxfId="10">
      <formula>AND($I16&lt;&gt;"",$I16&lt;0)</formula>
    </cfRule>
  </conditionalFormatting>
  <conditionalFormatting sqref="B19:H19">
    <cfRule type="expression" priority="14" aboveAverage="0" equalAverage="0" bottom="0" percent="0" rank="0" text="" dxfId="9">
      <formula>AND(B19&lt;&gt;"",B19&gt;0)</formula>
    </cfRule>
    <cfRule type="expression" priority="15" aboveAverage="0" equalAverage="0" bottom="0" percent="0" rank="0" text="" dxfId="10">
      <formula>AND(B19&lt;&gt;"",B19&lt;0)</formula>
    </cfRule>
  </conditionalFormatting>
  <conditionalFormatting sqref="I19">
    <cfRule type="expression" priority="16" aboveAverage="0" equalAverage="0" bottom="0" percent="0" rank="0" text="" dxfId="9">
      <formula>AND($I19&lt;&gt;"",$I19&gt;0)</formula>
    </cfRule>
    <cfRule type="expression" priority="17" aboveAverage="0" equalAverage="0" bottom="0" percent="0" rank="0" text="" dxfId="10">
      <formula>AND($I19&lt;&gt;"",$I19&lt;0)</formula>
    </cfRule>
  </conditionalFormatting>
  <conditionalFormatting sqref="B22:H22">
    <cfRule type="expression" priority="18" aboveAverage="0" equalAverage="0" bottom="0" percent="0" rank="0" text="" dxfId="9">
      <formula>AND(B22&lt;&gt;"",B22&gt;0)</formula>
    </cfRule>
    <cfRule type="expression" priority="19" aboveAverage="0" equalAverage="0" bottom="0" percent="0" rank="0" text="" dxfId="10">
      <formula>AND(B22&lt;&gt;"",B22&lt;0)</formula>
    </cfRule>
  </conditionalFormatting>
  <conditionalFormatting sqref="I22">
    <cfRule type="expression" priority="20" aboveAverage="0" equalAverage="0" bottom="0" percent="0" rank="0" text="" dxfId="9">
      <formula>AND($I22&lt;&gt;"",$I22&gt;0)</formula>
    </cfRule>
    <cfRule type="expression" priority="21" aboveAverage="0" equalAverage="0" bottom="0" percent="0" rank="0" text="" dxfId="10">
      <formula>AND($I22&lt;&gt;"",$I22&lt;0)</formula>
    </cfRule>
  </conditionalFormatting>
  <conditionalFormatting sqref="B25:H25">
    <cfRule type="expression" priority="22" aboveAverage="0" equalAverage="0" bottom="0" percent="0" rank="0" text="" dxfId="9">
      <formula>AND(B25&lt;&gt;"",B25&gt;0)</formula>
    </cfRule>
    <cfRule type="expression" priority="23" aboveAverage="0" equalAverage="0" bottom="0" percent="0" rank="0" text="" dxfId="10">
      <formula>AND(B25&lt;&gt;"",B25&lt;0)</formula>
    </cfRule>
  </conditionalFormatting>
  <conditionalFormatting sqref="I25">
    <cfRule type="expression" priority="24" aboveAverage="0" equalAverage="0" bottom="0" percent="0" rank="0" text="" dxfId="9">
      <formula>AND($I25&lt;&gt;"",$I25&gt;0)</formula>
    </cfRule>
    <cfRule type="expression" priority="25" aboveAverage="0" equalAverage="0" bottom="0" percent="0" rank="0" text="" dxfId="10">
      <formula>AND($I25&lt;&gt;"",$I25&lt;0)</formula>
    </cfRule>
  </conditionalFormatting>
  <conditionalFormatting sqref="P9:P22">
    <cfRule type="expression" priority="26" aboveAverage="0" equalAverage="0" bottom="0" percent="0" rank="0" text="" dxfId="9">
      <formula>AND($P9&lt;&gt;"",$P9&gt;0)</formula>
    </cfRule>
    <cfRule type="expression" priority="27" aboveAverage="0" equalAverage="0" bottom="0" percent="0" rank="0" text="" dxfId="10">
      <formula>AND($P9&lt;&gt;"",$P9&lt;0)</formula>
    </cfRule>
  </conditionalFormatting>
  <conditionalFormatting sqref="Q9:Q20">
    <cfRule type="expression" priority="28" aboveAverage="0" equalAverage="0" bottom="0" percent="0" rank="0" text="" dxfId="9">
      <formula>AND($Q9&lt;&gt;"",$Q9&gt;0)</formula>
    </cfRule>
    <cfRule type="expression" priority="29" aboveAverage="0" equalAverage="0" bottom="0" percent="0" rank="0" text="" dxfId="10">
      <formula>AND($Q9&lt;&gt;"",$Q9&lt;0)</formula>
    </cfRule>
  </conditionalFormatting>
  <dataValidations count="1">
    <dataValidation allowBlank="false" errorStyle="stop" operator="between" showDropDown="false" showErrorMessage="false" showInputMessage="false" sqref="B6" type="list">
      <formula1>Listas!$J$6:$J$17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42D3D"/>
    <pageSetUpPr fitToPage="false"/>
  </sheetPr>
  <dimension ref="A1:AH7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22"/>
    <col collapsed="false" customWidth="true" hidden="false" outlineLevel="0" max="5" min="3" style="1" width="16"/>
    <col collapsed="false" customWidth="true" hidden="false" outlineLevel="0" max="6" min="6" style="1" width="14"/>
    <col collapsed="false" customWidth="true" hidden="false" outlineLevel="0" max="7" min="7" style="1" width="10"/>
    <col collapsed="false" customWidth="true" hidden="false" outlineLevel="0" max="8" min="8" style="1" width="22"/>
    <col collapsed="false" customWidth="true" hidden="false" outlineLevel="0" max="10" min="10" style="1" width="14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customFormat="false" ht="31.5" hidden="false" customHeight="true" outlineLevel="0" collapsed="false">
      <c r="A2" s="2"/>
      <c r="B2" s="4" t="s">
        <v>0</v>
      </c>
      <c r="C2" s="5" t="s">
        <v>229</v>
      </c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customFormat="false" ht="15" hidden="false" customHeight="true" outlineLevel="0" collapsed="false">
      <c r="A3" s="2"/>
      <c r="B3" s="2"/>
      <c r="C3" s="6" t="s">
        <v>230</v>
      </c>
      <c r="D3" s="2"/>
      <c r="E3" s="2"/>
      <c r="F3" s="2"/>
      <c r="G3" s="2"/>
      <c r="H3" s="2"/>
      <c r="I3" s="2"/>
      <c r="J3" s="2"/>
      <c r="K3" s="2"/>
      <c r="L3" s="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customFormat="false" ht="15" hidden="false" customHeight="tru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customFormat="false" ht="21.75" hidden="false" customHeight="true" outlineLevel="0" collapsed="false">
      <c r="A5" s="2"/>
      <c r="B5" s="35" t="s">
        <v>67</v>
      </c>
      <c r="C5" s="35" t="s">
        <v>231</v>
      </c>
      <c r="D5" s="35" t="s">
        <v>232</v>
      </c>
      <c r="E5" s="35" t="s">
        <v>233</v>
      </c>
      <c r="F5" s="35" t="s">
        <v>234</v>
      </c>
      <c r="G5" s="35" t="s">
        <v>235</v>
      </c>
      <c r="H5" s="35" t="s">
        <v>73</v>
      </c>
      <c r="I5" s="2"/>
      <c r="J5" s="35" t="s">
        <v>236</v>
      </c>
      <c r="K5" s="2"/>
      <c r="L5" s="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customFormat="false" ht="15" hidden="false" customHeight="true" outlineLevel="0" collapsed="false">
      <c r="A6" s="2"/>
      <c r="B6" s="113" t="s">
        <v>122</v>
      </c>
      <c r="C6" s="114" t="n">
        <v>20</v>
      </c>
      <c r="D6" s="115" t="n">
        <v>0</v>
      </c>
      <c r="E6" s="116" t="s">
        <v>237</v>
      </c>
      <c r="F6" s="116" t="s">
        <v>238</v>
      </c>
      <c r="G6" s="116" t="s">
        <v>239</v>
      </c>
      <c r="H6" s="116" t="s">
        <v>240</v>
      </c>
      <c r="I6" s="2"/>
      <c r="J6" s="116" t="s">
        <v>203</v>
      </c>
      <c r="K6" s="2"/>
      <c r="L6" s="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customFormat="false" ht="15" hidden="false" customHeight="true" outlineLevel="0" collapsed="false">
      <c r="A7" s="2"/>
      <c r="B7" s="113" t="s">
        <v>45</v>
      </c>
      <c r="C7" s="114" t="n">
        <v>2</v>
      </c>
      <c r="D7" s="115" t="n">
        <v>0</v>
      </c>
      <c r="E7" s="116" t="s">
        <v>241</v>
      </c>
      <c r="F7" s="116" t="s">
        <v>242</v>
      </c>
      <c r="G7" s="116" t="s">
        <v>120</v>
      </c>
      <c r="H7" s="116" t="s">
        <v>243</v>
      </c>
      <c r="I7" s="2"/>
      <c r="J7" s="116" t="s">
        <v>204</v>
      </c>
      <c r="K7" s="2"/>
      <c r="L7" s="2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customFormat="false" ht="15" hidden="false" customHeight="true" outlineLevel="0" collapsed="false">
      <c r="A8" s="2"/>
      <c r="B8" s="113" t="s">
        <v>129</v>
      </c>
      <c r="C8" s="114" t="n">
        <v>50</v>
      </c>
      <c r="D8" s="115" t="n">
        <v>0</v>
      </c>
      <c r="E8" s="2"/>
      <c r="F8" s="2"/>
      <c r="G8" s="116" t="s">
        <v>124</v>
      </c>
      <c r="H8" s="116" t="s">
        <v>244</v>
      </c>
      <c r="I8" s="2"/>
      <c r="J8" s="116" t="s">
        <v>205</v>
      </c>
      <c r="K8" s="2"/>
      <c r="L8" s="2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customFormat="false" ht="15" hidden="false" customHeight="true" outlineLevel="0" collapsed="false">
      <c r="A9" s="2"/>
      <c r="B9" s="113" t="s">
        <v>133</v>
      </c>
      <c r="C9" s="114" t="n">
        <v>5</v>
      </c>
      <c r="D9" s="115" t="n">
        <v>0</v>
      </c>
      <c r="E9" s="2"/>
      <c r="F9" s="2"/>
      <c r="G9" s="116" t="s">
        <v>127</v>
      </c>
      <c r="H9" s="116" t="s">
        <v>123</v>
      </c>
      <c r="I9" s="2"/>
      <c r="J9" s="116" t="s">
        <v>207</v>
      </c>
      <c r="K9" s="2"/>
      <c r="L9" s="2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customFormat="false" ht="15" hidden="false" customHeight="true" outlineLevel="0" collapsed="false">
      <c r="A10" s="2"/>
      <c r="B10" s="113" t="s">
        <v>137</v>
      </c>
      <c r="C10" s="114" t="n">
        <v>5</v>
      </c>
      <c r="D10" s="115" t="n">
        <v>0</v>
      </c>
      <c r="E10" s="2"/>
      <c r="F10" s="2"/>
      <c r="G10" s="116" t="s">
        <v>131</v>
      </c>
      <c r="H10" s="116" t="s">
        <v>126</v>
      </c>
      <c r="I10" s="2"/>
      <c r="J10" s="116" t="s">
        <v>208</v>
      </c>
      <c r="K10" s="2"/>
      <c r="L10" s="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customFormat="false" ht="15" hidden="false" customHeight="true" outlineLevel="0" collapsed="false">
      <c r="A11" s="2"/>
      <c r="B11" s="113" t="s">
        <v>140</v>
      </c>
      <c r="C11" s="114" t="n">
        <v>0.5</v>
      </c>
      <c r="D11" s="115" t="n">
        <v>0</v>
      </c>
      <c r="E11" s="2"/>
      <c r="F11" s="2"/>
      <c r="G11" s="116" t="s">
        <v>135</v>
      </c>
      <c r="H11" s="116" t="s">
        <v>130</v>
      </c>
      <c r="I11" s="2"/>
      <c r="J11" s="116" t="s">
        <v>209</v>
      </c>
      <c r="K11" s="2"/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customFormat="false" ht="15" hidden="false" customHeight="true" outlineLevel="0" collapsed="false">
      <c r="A12" s="2"/>
      <c r="B12" s="113" t="s">
        <v>143</v>
      </c>
      <c r="C12" s="114" t="n">
        <v>50</v>
      </c>
      <c r="D12" s="115" t="n">
        <v>0</v>
      </c>
      <c r="E12" s="2"/>
      <c r="F12" s="2"/>
      <c r="G12" s="116" t="s">
        <v>245</v>
      </c>
      <c r="H12" s="116" t="s">
        <v>134</v>
      </c>
      <c r="I12" s="2"/>
      <c r="J12" s="116" t="s">
        <v>211</v>
      </c>
      <c r="K12" s="2"/>
      <c r="L12" s="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customFormat="false" ht="15" hidden="false" customHeight="true" outlineLevel="0" collapsed="false">
      <c r="A13" s="2"/>
      <c r="B13" s="113" t="s">
        <v>145</v>
      </c>
      <c r="C13" s="114" t="n">
        <v>5</v>
      </c>
      <c r="D13" s="115" t="n">
        <v>0</v>
      </c>
      <c r="E13" s="2"/>
      <c r="F13" s="2"/>
      <c r="G13" s="2"/>
      <c r="H13" s="116" t="s">
        <v>138</v>
      </c>
      <c r="I13" s="2"/>
      <c r="J13" s="116" t="s">
        <v>212</v>
      </c>
      <c r="K13" s="2"/>
      <c r="L13" s="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customFormat="false" ht="15" hidden="false" customHeight="true" outlineLevel="0" collapsed="false">
      <c r="A14" s="2"/>
      <c r="B14" s="113" t="s">
        <v>147</v>
      </c>
      <c r="C14" s="114" t="n">
        <v>1000</v>
      </c>
      <c r="D14" s="115" t="n">
        <v>0</v>
      </c>
      <c r="E14" s="2"/>
      <c r="F14" s="2"/>
      <c r="G14" s="2"/>
      <c r="H14" s="116" t="s">
        <v>141</v>
      </c>
      <c r="I14" s="2"/>
      <c r="J14" s="116" t="s">
        <v>189</v>
      </c>
      <c r="K14" s="2"/>
      <c r="L14" s="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customFormat="false" ht="15" hidden="false" customHeight="true" outlineLevel="0" collapsed="false">
      <c r="A15" s="2"/>
      <c r="B15" s="113" t="s">
        <v>149</v>
      </c>
      <c r="C15" s="114" t="n">
        <v>100</v>
      </c>
      <c r="D15" s="115" t="n">
        <v>0</v>
      </c>
      <c r="E15" s="2"/>
      <c r="F15" s="2"/>
      <c r="G15" s="2"/>
      <c r="H15" s="2"/>
      <c r="I15" s="2"/>
      <c r="J15" s="116" t="s">
        <v>214</v>
      </c>
      <c r="K15" s="2"/>
      <c r="L15" s="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customFormat="false" ht="15" hidden="false" customHeight="true" outlineLevel="0" collapsed="false">
      <c r="A16" s="2"/>
      <c r="B16" s="113" t="s">
        <v>151</v>
      </c>
      <c r="C16" s="114" t="n">
        <v>100</v>
      </c>
      <c r="D16" s="115" t="n">
        <v>0</v>
      </c>
      <c r="E16" s="2"/>
      <c r="F16" s="2"/>
      <c r="G16" s="2"/>
      <c r="H16" s="2"/>
      <c r="I16" s="2"/>
      <c r="J16" s="116" t="s">
        <v>215</v>
      </c>
      <c r="K16" s="2"/>
      <c r="L16" s="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customFormat="false" ht="15" hidden="false" customHeight="true" outlineLevel="0" collapsed="false">
      <c r="A17" s="2"/>
      <c r="B17" s="113" t="s">
        <v>153</v>
      </c>
      <c r="C17" s="114" t="n">
        <v>10</v>
      </c>
      <c r="D17" s="115" t="n">
        <v>0</v>
      </c>
      <c r="E17" s="2"/>
      <c r="F17" s="2"/>
      <c r="G17" s="2"/>
      <c r="H17" s="2"/>
      <c r="I17" s="2"/>
      <c r="J17" s="116" t="s">
        <v>216</v>
      </c>
      <c r="K17" s="2"/>
      <c r="L17" s="2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customFormat="false" ht="15" hidden="false" customHeight="true" outlineLevel="0" collapsed="false">
      <c r="A18" s="2"/>
      <c r="B18" s="113" t="s">
        <v>155</v>
      </c>
      <c r="C18" s="114" t="n">
        <v>125000</v>
      </c>
      <c r="D18" s="115" t="n">
        <v>0</v>
      </c>
      <c r="E18" s="2"/>
      <c r="F18" s="2"/>
      <c r="G18" s="2"/>
      <c r="H18" s="2"/>
      <c r="I18" s="2"/>
      <c r="J18" s="2"/>
      <c r="K18" s="2"/>
      <c r="L18" s="2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customFormat="false" ht="15" hidden="false" customHeight="true" outlineLevel="0" collapsed="false">
      <c r="A19" s="2"/>
      <c r="B19" s="113" t="s">
        <v>157</v>
      </c>
      <c r="C19" s="114" t="n">
        <v>62500</v>
      </c>
      <c r="D19" s="115" t="n">
        <v>0</v>
      </c>
      <c r="E19" s="2"/>
      <c r="F19" s="2"/>
      <c r="G19" s="2"/>
      <c r="H19" s="2"/>
      <c r="I19" s="2"/>
      <c r="J19" s="2"/>
      <c r="K19" s="2"/>
      <c r="L19" s="2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customFormat="false" ht="15" hidden="false" customHeight="true" outlineLevel="0" collapsed="false">
      <c r="A20" s="2"/>
      <c r="B20" s="113" t="s">
        <v>159</v>
      </c>
      <c r="C20" s="114" t="n">
        <v>100000</v>
      </c>
      <c r="D20" s="115" t="n">
        <v>0</v>
      </c>
      <c r="E20" s="2"/>
      <c r="F20" s="2"/>
      <c r="G20" s="2"/>
      <c r="H20" s="2"/>
      <c r="I20" s="2"/>
      <c r="J20" s="2"/>
      <c r="K20" s="2"/>
      <c r="L20" s="2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customFormat="false" ht="15" hidden="false" customHeight="true" outlineLevel="0" collapsed="fals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customFormat="false" ht="15" hidden="false" customHeight="true" outlineLevel="0" collapsed="fals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customFormat="false" ht="15" hidden="false" customHeight="true" outlineLevel="0" collapsed="false">
      <c r="A23" s="2"/>
      <c r="B23" s="8" t="s">
        <v>246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customFormat="false" ht="15" hidden="false" customHeight="true" outlineLevel="0" collapsed="false">
      <c r="A24" s="2"/>
      <c r="B24" s="8" t="s">
        <v>247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customFormat="false" ht="15" hidden="false" customHeight="true" outlineLevel="0" collapsed="false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customFormat="false" ht="15" hidden="false" customHeight="true" outlineLevel="0" collapsed="false">
      <c r="A26" s="2"/>
      <c r="B26" s="117" t="s">
        <v>248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customFormat="false" ht="15" hidden="false" customHeight="true" outlineLevel="0" collapsed="false">
      <c r="A27" s="2"/>
      <c r="B27" s="8" t="s">
        <v>249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customFormat="false" ht="15" hidden="false" customHeight="true" outlineLevel="0" collapsed="fals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customFormat="false" ht="15" hidden="false" customHeight="true" outlineLevel="0" collapsed="fals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customFormat="false" ht="15" hidden="false" customHeight="true" outlineLevel="0" collapsed="fals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customFormat="false" ht="15" hidden="false" customHeight="tru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customFormat="false" ht="15" hidden="false" customHeight="tru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customFormat="false" ht="15" hidden="false" customHeight="true" outlineLevel="0" collapsed="fals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customFormat="false" ht="15" hidden="false" customHeight="true" outlineLevel="0" collapsed="false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customFormat="false" ht="15" hidden="false" customHeight="true" outlineLevel="0" collapsed="fals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customFormat="false" ht="15" hidden="false" customHeight="true" outlineLevel="0" collapsed="fals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customFormat="false" ht="15" hidden="false" customHeight="true" outlineLevel="0" collapsed="fals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customFormat="false" ht="15" hidden="false" customHeight="true" outlineLevel="0" collapsed="fals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customFormat="false" ht="15" hidden="false" customHeight="true" outlineLevel="0" collapsed="fals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customFormat="false" ht="15" hidden="false" customHeight="true" outlineLevel="0" collapsed="fals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customFormat="false" ht="15" hidden="false" customHeight="true" outlineLevel="0" collapsed="fals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customFormat="false" ht="15" hidden="false" customHeight="true" outlineLevel="0" collapsed="fals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customFormat="false" ht="15" hidden="false" customHeight="true" outlineLevel="0" collapsed="fals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customFormat="false" ht="15" hidden="false" customHeight="true" outlineLevel="0" collapsed="fals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customFormat="false" ht="15" hidden="false" customHeight="true" outlineLevel="0" collapsed="fals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customFormat="false" ht="15" hidden="false" customHeight="true" outlineLevel="0" collapsed="fals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customFormat="false" ht="15" hidden="false" customHeight="true" outlineLevel="0" collapsed="fals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customFormat="false" ht="15" hidden="false" customHeight="true" outlineLevel="0" collapsed="fals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customFormat="false" ht="15" hidden="false" customHeight="true" outlineLevel="0" collapsed="fals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customFormat="false" ht="15" hidden="false" customHeight="true" outlineLevel="0" collapsed="fals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customFormat="false" ht="15" hidden="false" customHeight="true" outlineLevel="0" collapsed="fals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customFormat="false" ht="15" hidden="false" customHeight="true" outlineLevel="0" collapsed="fals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customFormat="false" ht="15" hidden="false" customHeight="true" outlineLevel="0" collapsed="fals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customFormat="false" ht="15" hidden="false" customHeight="true" outlineLevel="0" collapsed="fals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customFormat="false" ht="15" hidden="false" customHeight="true" outlineLevel="0" collapsed="fals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customFormat="false" ht="15" hidden="false" customHeight="true" outlineLevel="0" collapsed="false">
      <c r="A56" s="2"/>
      <c r="B56" s="32" t="s">
        <v>76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customFormat="false" ht="15" hidden="false" customHeight="true" outlineLevel="0" collapsed="false">
      <c r="A57" s="2"/>
      <c r="B57" s="30" t="s">
        <v>77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customFormat="false" ht="15" hidden="false" customHeight="true" outlineLevel="0" collapsed="fals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customFormat="false" ht="15" hidden="false" customHeight="true" outlineLevel="0" collapsed="fals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customFormat="false" ht="15" hidden="false" customHeight="true" outlineLevel="0" collapsed="fals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customFormat="false" ht="15" hidden="false" customHeight="tru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customFormat="false" ht="15" hidden="false" customHeight="tru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customFormat="false" ht="15" hidden="false" customHeight="tru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customFormat="false" ht="15" hidden="false" customHeight="tru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customFormat="false" ht="15" hidden="false" customHeight="tru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customFormat="false" ht="15" hidden="false" customHeight="tru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customFormat="false" ht="15" hidden="false" customHeight="tru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customFormat="false" ht="15" hidden="false" customHeight="tru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customFormat="false" ht="15" hidden="false" customHeight="tru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customFormat="false" ht="15" hidden="false" customHeight="tru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customFormat="false" ht="15" hidden="false" customHeight="tru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customFormat="false" ht="15" hidden="false" customHeight="tru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Trading</cp:category>
  <dcterms:created xsi:type="dcterms:W3CDTF">2026-09-22T15:28:41Z</dcterms:created>
  <dc:creator>Carlos Eduardo Briñez Marquez</dc:creator>
  <dc:description>Diario de trading gratuito. tpsrangopro.com</dc:description>
  <cp:keywords>trading diario futuros NinjaTrader riesgo TPS Rango Pro</cp:keywords>
  <dc:language>en-US</dc:language>
  <cp:lastModifiedBy/>
  <dcterms:modified xsi:type="dcterms:W3CDTF">2026-09-24T15:48:07Z</dcterms:modified>
  <cp:revision>10</cp:revision>
  <dc:subject>Diario de registro de operaciones para traders de futuros</dc:subject>
  <dc:title>TPS Diario de Trading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